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firstSheet="4" activeTab="4"/>
  </bookViews>
  <sheets>
    <sheet name="INCOME Y-T-Y" sheetId="1" state="hidden" r:id="rId1"/>
    <sheet name="(11) Balance Sheet-p1 (2-3)" sheetId="2" state="hidden" r:id="rId2"/>
    <sheet name="EXPENSES (p11)" sheetId="3" state="hidden" r:id="rId3"/>
    <sheet name="(9)Equity YTD4" sheetId="4" state="hidden" r:id="rId4"/>
    <sheet name="Balance Sheet-1" sheetId="5" r:id="rId5"/>
    <sheet name="(8)Earned Incurred YTD6" sheetId="6" state="hidden" r:id="rId6"/>
    <sheet name="(7)Premiums YTD8" sheetId="7" state="hidden" r:id="rId7"/>
    <sheet name="Income Statement-2" sheetId="8"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6">'(7)Premiums YTD8'!$A$1:$H$39</definedName>
    <definedName name="_xlnm.Print_Area" localSheetId="5">'(8)Earned Incurred YTD6'!$A$1:$D$54</definedName>
    <definedName name="_xlnm.Print_Area" localSheetId="3">'(9)Equity YTD4'!$A$1:$G$62</definedName>
    <definedName name="_xlnm.Print_Area" localSheetId="2">'EXPENSES (p11)'!$A$1:$T$76</definedName>
    <definedName name="_xlnm.Print_Area" localSheetId="21">'IBNR JE2'!$A$1:$E$25</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<sst xmlns="http://schemas.openxmlformats.org/spreadsheetml/2006/main" count="1117" uniqueCount="501">
  <si>
    <t>AT JUNE 30, 2009</t>
  </si>
  <si>
    <t xml:space="preserve">     NET EQUITY AT JUNE 30, 2009</t>
  </si>
  <si>
    <t>JUNE 30, 2009</t>
  </si>
  <si>
    <t>NET EQUITY AT JUNE 30, 2009</t>
  </si>
  <si>
    <t>QTD PERIOD ENDED JUNE 30, 2009</t>
  </si>
  <si>
    <t>YTD PERIOD ENDED JUNE 30, 2009</t>
  </si>
  <si>
    <t>QTD PERIOD ENDING JUNE 30, 2009</t>
  </si>
  <si>
    <t>YTD PERIOD ENDING JUNE 30, 2009</t>
  </si>
  <si>
    <t>06-30-09</t>
  </si>
  <si>
    <t>PRIOR UNEARNED PREMIUM RESERVE                     @ 12-31-08</t>
  </si>
  <si>
    <t>PRIOR LOSS RESERVES (12-31-08)</t>
  </si>
  <si>
    <t>PRIOR LOSS  EXPENSE RESERVES                     @ 12-31-08</t>
  </si>
  <si>
    <t>CURRENT UNEARNED PREMIUM RESERVE              @ 06-30-09</t>
  </si>
  <si>
    <t>CURRENT CASE BASIS RESERVES (06-30-09)</t>
  </si>
  <si>
    <t>CURRENT I.B.N.R. RESERVES (06-30-09)</t>
  </si>
  <si>
    <t>CURRENT LOSS EXPENSE RESERVES               @ 06-30-09</t>
  </si>
  <si>
    <t>POLICY YEAR 2009</t>
  </si>
  <si>
    <t>POLICY YEAR 2005 &amp; PRIOR</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</si>
  <si>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</si>
  <si>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r>
      <t xml:space="preserve">                                           </t>
    </r>
    <r>
      <rPr>
        <b/>
        <sz val="9"/>
        <rFont val="Century Schoolbook"/>
        <family val="1"/>
      </rPr>
      <t xml:space="preserve">         1Q08</t>
    </r>
    <r>
      <rPr>
        <sz val="9"/>
        <rFont val="Century Schoolbook"/>
        <family val="1"/>
      </rPr>
      <t xml:space="preserve">         $308,798</t>
    </r>
  </si>
  <si>
    <t>1Q09</t>
  </si>
  <si>
    <r>
      <t xml:space="preserve">                                         </t>
    </r>
    <r>
      <rPr>
        <b/>
        <sz val="9"/>
        <rFont val="Century Schoolbook"/>
        <family val="1"/>
      </rPr>
      <t xml:space="preserve">       2Q08</t>
    </r>
    <r>
      <rPr>
        <sz val="9"/>
        <rFont val="Century Schoolbook"/>
        <family val="1"/>
      </rPr>
      <t xml:space="preserve">           290,257</t>
    </r>
  </si>
  <si>
    <r>
      <t xml:space="preserve">                                         </t>
    </r>
    <r>
      <rPr>
        <b/>
        <sz val="9"/>
        <rFont val="Century Schoolbook"/>
        <family val="1"/>
      </rPr>
      <t xml:space="preserve">      3Q08</t>
    </r>
    <r>
      <rPr>
        <sz val="9"/>
        <rFont val="Century Schoolbook"/>
        <family val="1"/>
      </rPr>
      <t xml:space="preserve">           275,833</t>
    </r>
  </si>
  <si>
    <r>
      <t xml:space="preserve">                                           </t>
    </r>
    <r>
      <rPr>
        <b/>
        <sz val="9"/>
        <rFont val="Century Schoolbook"/>
        <family val="1"/>
      </rPr>
      <t xml:space="preserve">      4Q08</t>
    </r>
    <r>
      <rPr>
        <sz val="9"/>
        <rFont val="Century Schoolbook"/>
        <family val="1"/>
      </rPr>
      <t xml:space="preserve">         $257,213</t>
    </r>
  </si>
  <si>
    <t>2Q09</t>
  </si>
  <si>
    <t>PRIOR UNEARNED PREMIUM RESERVE                     @ 03-31-09</t>
  </si>
  <si>
    <t>PRIOR LOSS RESERVES (03-31-09)</t>
  </si>
  <si>
    <t>PRIOR LOSS  EXPENSE RESERVES                     @ 03-31-09</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</si>
  <si>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</si>
  <si>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</si>
  <si>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</si>
  <si>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</si>
  <si>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</si>
  <si>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</si>
  <si>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</si>
  <si>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</si>
  <si>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</si>
  <si>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</si>
  <si>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</si>
  <si>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</si>
  <si>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</si>
  <si>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</si>
  <si>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</si>
  <si>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</si>
  <si>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</si>
  <si>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</si>
  <si>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</si>
  <si>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</si>
  <si>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</si>
  <si>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</si>
  <si>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</si>
  <si>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</si>
  <si>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</si>
  <si>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</si>
  <si>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</si>
  <si>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</si>
  <si>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</si>
  <si>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</si>
  <si>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 xml:space="preserve">Underwriting Gain </t>
  </si>
  <si>
    <t xml:space="preserve">Net Gain </t>
  </si>
  <si>
    <r>
      <t xml:space="preserve">     NET GAIN</t>
    </r>
    <r>
      <rPr>
        <sz val="11"/>
        <rFont val="Century Schoolbook"/>
        <family val="1"/>
      </rPr>
      <t xml:space="preserve"> FOR PERIOD</t>
    </r>
  </si>
  <si>
    <t>LOSS EXPENSES PAID                                      (ALAE AND ULAE)</t>
  </si>
  <si>
    <t>POLICY YEAR 2007</t>
  </si>
  <si>
    <t xml:space="preserve">     PREMIUMS RECEIVABLE</t>
  </si>
  <si>
    <t>*Note: The Terrorism Risk Insurance Program Reauthorization Act of 2007 requires insurers to report direct earned premium for commercial business written.  This amount is shown on page 8.</t>
  </si>
  <si>
    <t xml:space="preserve"> UNDERWRITING GAIN</t>
  </si>
  <si>
    <t xml:space="preserve"> NET GAIN</t>
  </si>
  <si>
    <t>POLICY YEAR 2008</t>
  </si>
  <si>
    <t xml:space="preserve">     CASH &amp; SHORT-TERM INVESTMENTS</t>
  </si>
  <si>
    <t xml:space="preserve">     EDP - EQUIPMENT &amp; SOFTWARE</t>
  </si>
  <si>
    <t>POLICY YEAR 2006</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</si>
  <si>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</si>
  <si>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</si>
  <si>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</si>
  <si>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</si>
  <si>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</si>
  <si>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</si>
  <si>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</si>
  <si>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</si>
  <si>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</si>
  <si>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</si>
  <si>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</si>
  <si>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</si>
  <si>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</si>
  <si>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</si>
  <si>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</si>
  <si>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</si>
  <si>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</si>
  <si>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</si>
  <si>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</si>
  <si>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</si>
  <si>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</si>
  <si>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</si>
  <si>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</si>
  <si>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</si>
  <si>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</si>
  <si>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</si>
  <si>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</si>
  <si>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</si>
  <si>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</si>
  <si>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</si>
  <si>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</si>
  <si>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</si>
  <si>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</si>
  <si>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</si>
  <si>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</si>
  <si>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</si>
  <si>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</si>
  <si>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</si>
  <si>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</si>
  <si>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</si>
  <si>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</si>
  <si>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</si>
  <si>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</si>
  <si>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</si>
  <si>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</si>
  <si>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</si>
  <si>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</si>
  <si>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</si>
  <si>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</si>
  <si>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</si>
  <si>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</si>
  <si>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</si>
  <si>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</si>
  <si>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</si>
  <si>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</si>
  <si>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</si>
  <si>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</si>
  <si>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</si>
  <si>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</si>
  <si>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</si>
  <si>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</si>
  <si>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</si>
  <si>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</si>
  <si>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</si>
  <si>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</si>
  <si>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</si>
  <si>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</si>
  <si>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</si>
  <si>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</si>
  <si>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</si>
  <si>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</si>
  <si>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</si>
  <si>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</si>
  <si>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</si>
  <si>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</si>
  <si>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</si>
  <si>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</si>
  <si>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</si>
  <si>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</si>
  <si>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</si>
  <si>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</si>
  <si>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</si>
  <si>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</si>
  <si>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</si>
  <si>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</si>
  <si>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</si>
  <si>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</si>
  <si>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</si>
  <si>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</si>
  <si>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</si>
  <si>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</si>
  <si>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</si>
  <si>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</si>
  <si>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</si>
  <si>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</si>
  <si>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</si>
  <si>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</si>
  <si>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</si>
  <si>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</si>
  <si>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</si>
  <si>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</si>
  <si>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</si>
  <si>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</si>
  <si>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</si>
  <si>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</si>
  <si>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</si>
  <si>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</si>
  <si>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</si>
  <si>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</si>
  <si>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</si>
  <si>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</si>
  <si>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</si>
  <si>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</si>
  <si>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</si>
  <si>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</si>
  <si>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</si>
  <si>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</si>
  <si>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</si>
  <si>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</si>
  <si>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</si>
  <si>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</si>
  <si>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</si>
  <si>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</si>
  <si>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</si>
  <si>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</si>
  <si>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</si>
  <si>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</si>
  <si>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</si>
  <si>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</si>
  <si>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</si>
  <si>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</si>
  <si>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</si>
  <si>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</si>
  <si>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</si>
  <si>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</si>
  <si>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</si>
  <si>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</si>
  <si>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</si>
  <si>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</si>
  <si>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</si>
  <si>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</si>
  <si>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</si>
  <si>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</si>
  <si>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</si>
  <si>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</si>
  <si>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</si>
  <si>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</si>
  <si>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</si>
  <si>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</si>
  <si>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</si>
  <si>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</si>
  <si>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</si>
  <si>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</si>
  <si>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</si>
  <si>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</si>
  <si>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</si>
  <si>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</si>
  <si>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</si>
  <si>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</si>
  <si>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</si>
  <si>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</si>
  <si>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</si>
  <si>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</si>
  <si>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</si>
  <si>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</si>
  <si>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</si>
  <si>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</si>
  <si>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</si>
  <si>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</si>
  <si>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</si>
  <si>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</si>
  <si>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</si>
  <si>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</si>
  <si>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</si>
  <si>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</si>
  <si>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</si>
  <si>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</si>
  <si>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</si>
  <si>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</si>
  <si>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</si>
  <si>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</si>
  <si>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</si>
  <si>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</si>
  <si>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</si>
  <si>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</si>
  <si>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</si>
  <si>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</si>
  <si>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</si>
  <si>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</si>
  <si>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</si>
  <si>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</si>
  <si>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</si>
  <si>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</si>
  <si>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</si>
  <si>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</si>
  <si>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</si>
  <si>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</si>
  <si>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</si>
  <si>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</si>
  <si>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</si>
  <si>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</si>
  <si>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</si>
  <si>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</si>
  <si>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</si>
  <si>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</si>
  <si>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</si>
  <si>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</si>
  <si>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</si>
  <si>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</si>
  <si>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</si>
  <si>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</si>
  <si>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</si>
  <si>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</si>
  <si>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</si>
  <si>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</si>
  <si>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</si>
  <si>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</si>
  <si>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</si>
  <si>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</si>
  <si>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</si>
  <si>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</si>
  <si>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</si>
  <si>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</si>
  <si>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</si>
  <si>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</si>
  <si>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</si>
  <si>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</si>
  <si>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</si>
  <si>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</si>
  <si>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</si>
  <si>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</si>
  <si>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</si>
  <si>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</si>
  <si>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</si>
  <si>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</si>
  <si>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</si>
  <si>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</si>
  <si>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</si>
  <si>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</si>
  <si>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</si>
  <si>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</si>
  <si>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</si>
  <si>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</si>
  <si>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</si>
  <si>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</si>
  <si>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</si>
  <si>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</si>
  <si>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</si>
  <si>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</si>
  <si>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</si>
  <si>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</si>
  <si>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</si>
  <si>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</si>
  <si>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</si>
  <si>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</si>
  <si>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</si>
  <si>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</si>
  <si>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</si>
  <si>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</si>
  <si>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</si>
  <si>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</si>
  <si>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</si>
  <si>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</si>
  <si>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</si>
  <si>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</si>
  <si>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</si>
  <si>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</si>
  <si>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</si>
  <si>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</si>
  <si>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</si>
  <si>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</si>
  <si>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</si>
  <si>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</si>
  <si>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</si>
  <si>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</si>
  <si>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</si>
  <si>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</si>
  <si>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</si>
  <si>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</si>
  <si>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</si>
  <si>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</si>
  <si>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</si>
  <si>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</si>
  <si>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</si>
  <si>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</si>
  <si>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</si>
  <si>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</si>
  <si>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</si>
  <si>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</si>
  <si>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</si>
  <si>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</si>
  <si>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</si>
  <si>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</si>
  <si>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</si>
  <si>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</si>
  <si>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</si>
  <si>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</si>
  <si>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</si>
  <si>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</si>
  <si>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</si>
  <si>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</si>
  <si>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</si>
  <si>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</si>
  <si>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</si>
  <si>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</si>
  <si>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</si>
  <si>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</si>
  <si>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</si>
  <si>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</si>
  <si>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</si>
  <si>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</si>
  <si>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</si>
  <si>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</si>
  <si>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</si>
  <si>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</si>
  <si>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</si>
  <si>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</si>
  <si>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</si>
  <si>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</si>
  <si>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</si>
  <si>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</si>
  <si>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</si>
  <si>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</si>
  <si>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</si>
  <si>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</si>
  <si>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</si>
  <si>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</si>
  <si>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</si>
  <si>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</si>
  <si>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</si>
  <si>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</si>
  <si>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</si>
  <si>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</si>
  <si>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</si>
  <si>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</si>
  <si>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</si>
  <si>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</si>
  <si>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</si>
  <si>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</si>
  <si>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</si>
  <si>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</si>
  <si>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</si>
  <si>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</si>
  <si>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</si>
  <si>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</si>
  <si>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</si>
  <si>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</si>
  <si>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</si>
  <si>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</si>
  <si>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</si>
  <si>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</si>
  <si>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</si>
  <si>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</si>
  <si>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</si>
  <si>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</si>
  <si>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</si>
  <si>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</si>
  <si>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</si>
  <si>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</si>
  <si>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</si>
  <si>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</si>
  <si>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</si>
  <si>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</si>
  <si>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</si>
  <si>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</si>
  <si>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</si>
  <si>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</si>
  <si>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</si>
  <si>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</si>
  <si>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</si>
  <si>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</si>
  <si>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</si>
  <si>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</si>
  <si>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</si>
  <si>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</si>
  <si>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</si>
  <si>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</si>
  <si>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</si>
  <si>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</si>
  <si>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</si>
  <si>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</si>
  <si>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</si>
  <si>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</si>
  <si>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</si>
  <si>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</si>
  <si>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</si>
  <si>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</si>
  <si>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</si>
  <si>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</si>
  <si>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</si>
  <si>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</si>
  <si>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</si>
  <si>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</si>
  <si>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</si>
  <si>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</si>
  <si>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</si>
  <si>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</si>
  <si>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</si>
  <si>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</si>
  <si>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</si>
  <si>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</si>
  <si>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</si>
  <si>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</si>
  <si>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</si>
  <si>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</si>
  <si>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</si>
  <si>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</si>
  <si>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</si>
  <si>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</si>
  <si>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</si>
  <si>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</si>
  <si>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</si>
  <si>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</si>
  <si>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</si>
  <si>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</si>
  <si>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</si>
  <si>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</si>
  <si>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</si>
  <si>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</si>
  <si>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</si>
  <si>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</si>
  <si>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</si>
  <si>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</si>
  <si>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</si>
  <si>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</si>
  <si>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</si>
  <si>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</si>
  <si>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</si>
  <si>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</si>
  <si>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Prepared by: Akleema Abrams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</si>
</sst>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 ;[Red]\ \(0%\)"/>
    <numFmt numFmtId="174" formatCode="[$-409]mmmm\ d\,\ yyyy;@"/>
  </numFmts>
  <fonts count="101">
    <font>
      <sz val="10"/>
      <name val="Arial"/>
      <family val="0"/>
    </font>
    <font>
      <sz val="11"/>
      <color indexed="8"/>
      <name val="Calibri"/>
      <family val="2"/>
    </font>
    <font>
      <b/>
      <sz val="10"/>
      <name val="Arial"/>
      <family val="2"/>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2"/>
    </font>
    <font>
      <b/>
      <sz val="10"/>
      <color indexed="56"/>
      <name val="Arial"/>
      <family val="2"/>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2"/>
      <name val="Century Schoolbook"/>
      <family val="1"/>
    </font>
    <font>
      <b/>
      <i/>
      <sz val="10"/>
      <name val="Century Schoolbook"/>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style="medium"/>
      <right/>
      <top/>
      <bottom style="medium"/>
    </border>
    <border>
      <left/>
      <right/>
      <top/>
      <bottom style="thin"/>
    </border>
    <border>
      <left/>
      <right/>
      <top style="thin"/>
      <bottom style="thin"/>
    </border>
    <border>
      <left/>
      <right/>
      <top style="thin"/>
      <bottom style="double"/>
    </border>
    <border>
      <left/>
      <right/>
      <top style="medium"/>
      <bottom/>
    </border>
    <border>
      <left style="medium"/>
      <right/>
      <top/>
      <bottom style="thin"/>
    </border>
    <border>
      <left/>
      <right style="medium"/>
      <top/>
      <bottom/>
    </border>
    <border>
      <left/>
      <right style="medium"/>
      <top style="thin"/>
      <bottom style="double"/>
    </border>
    <border>
      <left/>
      <right style="medium"/>
      <top/>
      <bottom style="medium"/>
    </border>
    <border>
      <left/>
      <right style="medium"/>
      <top style="medium"/>
      <bottom/>
    </border>
    <border>
      <left/>
      <right style="medium"/>
      <top/>
      <bottom style="thin"/>
    </border>
    <border>
      <left/>
      <right style="thin"/>
      <top style="thin"/>
      <bottom/>
    </border>
    <border>
      <left/>
      <right style="thin"/>
      <top/>
      <bottom style="thin"/>
    </border>
    <border>
      <left style="medium"/>
      <right/>
      <top style="medium"/>
      <bottom style="medium"/>
    </border>
    <border>
      <left style="medium"/>
      <right/>
      <top style="medium"/>
      <bottom/>
    </border>
    <border>
      <left/>
      <right/>
      <top style="medium"/>
      <bottom style="medium"/>
    </border>
    <border>
      <left/>
      <right/>
      <top/>
      <bottom style="double"/>
    </border>
    <border>
      <left style="thin"/>
      <right/>
      <top/>
      <bottom/>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bottom/>
    </border>
    <border>
      <left/>
      <right style="thin"/>
      <top/>
      <bottom style="medium"/>
    </border>
    <border>
      <left style="thin"/>
      <right/>
      <top style="thin"/>
      <bottom style="thin"/>
    </border>
    <border>
      <left/>
      <right style="thin"/>
      <top style="thin"/>
      <bottom style="thin"/>
    </border>
    <border>
      <left/>
      <right/>
      <top style="thin"/>
      <bottom/>
    </border>
    <border>
      <left style="thin"/>
      <right/>
      <top style="thin"/>
      <bottom style="double"/>
    </border>
    <border>
      <left/>
      <right style="thin"/>
      <top style="thin"/>
      <bottom style="double"/>
    </border>
    <border>
      <left/>
      <right style="thin"/>
      <top style="medium"/>
      <bottom/>
    </border>
    <border>
      <left/>
      <right/>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34" fillId="0" borderId="0" applyNumberFormat="0" applyBorder="0" applyAlignment="0">
      <protection/>
    </xf>
    <xf numFmtId="0" fontId="63" fillId="0" borderId="0" applyNumberFormat="0" applyBorder="0" applyAlignment="0">
      <protection/>
    </xf>
    <xf numFmtId="0" fontId="64" fillId="0" borderId="0" applyNumberFormat="0" applyBorder="0" applyAlignment="0">
      <protection/>
    </xf>
    <xf numFmtId="0" fontId="24" fillId="0" borderId="0" applyNumberFormat="0" applyBorder="0" applyAlignment="0">
      <protection/>
    </xf>
    <xf numFmtId="0" fontId="20" fillId="0" borderId="0" applyNumberFormat="0" applyBorder="0" applyAlignment="0">
      <protection/>
    </xf>
    <xf numFmtId="0" fontId="65" fillId="0" borderId="0" applyNumberFormat="0" applyBorder="0" applyAlignment="0">
      <protection/>
    </xf>
    <xf numFmtId="0" fontId="14" fillId="0" borderId="0" applyNumberFormat="0" applyBorder="0" applyAlignment="0">
      <protection/>
    </xf>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021">
    <xf numFmtId="0" fontId="0" fillId="0" borderId="0" xfId="0" applyAlignment="1">
      <alignment/>
    </xf>
    <xf numFmtId="0" fontId="3" fillId="0" borderId="0" xfId="0" applyFont="1" applyAlignment="1">
      <alignment horizontal="centerContinuous"/>
    </xf>
    <xf numFmtId="0" fontId="5" fillId="0" borderId="0" xfId="0" applyFont="1" applyAlignment="1">
      <alignment/>
    </xf>
    <xf numFmtId="0" fontId="6" fillId="33" borderId="0" xfId="0" applyFont="1" applyFill="1" applyAlignment="1">
      <alignment horizontal="center"/>
    </xf>
    <xf numFmtId="38" fontId="5" fillId="0" borderId="0" xfId="0" applyNumberFormat="1" applyFont="1" applyAlignment="1">
      <alignment/>
    </xf>
    <xf numFmtId="38" fontId="5" fillId="0" borderId="0" xfId="0" applyNumberFormat="1" applyFont="1" applyBorder="1" applyAlignment="1">
      <alignment/>
    </xf>
    <xf numFmtId="0" fontId="7" fillId="0" borderId="0" xfId="0" applyFont="1" applyAlignment="1">
      <alignment horizontal="centerContinuous"/>
    </xf>
    <xf numFmtId="38" fontId="4" fillId="0" borderId="0" xfId="0" applyNumberFormat="1" applyFont="1" applyAlignment="1">
      <alignment/>
    </xf>
    <xf numFmtId="41" fontId="4" fillId="0" borderId="0" xfId="0" applyNumberFormat="1" applyFont="1" applyAlignment="1">
      <alignment/>
    </xf>
    <xf numFmtId="0" fontId="6" fillId="0" borderId="0" xfId="0" applyFont="1" applyAlignment="1">
      <alignment horizontal="centerContinuous"/>
    </xf>
    <xf numFmtId="41" fontId="4"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xf>
    <xf numFmtId="0" fontId="13" fillId="0" borderId="0" xfId="0" applyFont="1" applyAlignment="1">
      <alignment/>
    </xf>
    <xf numFmtId="42" fontId="13" fillId="0" borderId="0" xfId="45" applyFont="1" applyFill="1" applyAlignment="1">
      <alignment horizontal="right" wrapText="1"/>
    </xf>
    <xf numFmtId="0" fontId="13" fillId="0" borderId="0" xfId="0" applyFont="1" applyAlignment="1">
      <alignment horizontal="left"/>
    </xf>
    <xf numFmtId="0" fontId="13" fillId="0" borderId="0" xfId="0" applyFont="1" applyBorder="1" applyAlignment="1">
      <alignment horizontal="centerContinuous"/>
    </xf>
    <xf numFmtId="0" fontId="13" fillId="0" borderId="0" xfId="0" applyFont="1" applyBorder="1" applyAlignment="1">
      <alignment/>
    </xf>
    <xf numFmtId="0" fontId="3" fillId="0" borderId="0" xfId="0" applyFont="1" applyFill="1" applyAlignment="1">
      <alignment horizontal="centerContinuous"/>
    </xf>
    <xf numFmtId="0" fontId="3" fillId="0" borderId="0" xfId="0" applyFont="1" applyAlignment="1">
      <alignment/>
    </xf>
    <xf numFmtId="0" fontId="4" fillId="0" borderId="0" xfId="0" applyFont="1" applyBorder="1" applyAlignment="1">
      <alignment/>
    </xf>
    <xf numFmtId="0" fontId="13" fillId="0" borderId="0" xfId="0" applyFont="1" applyBorder="1" applyAlignment="1">
      <alignment horizontal="left"/>
    </xf>
    <xf numFmtId="38" fontId="13" fillId="0" borderId="0" xfId="0" applyNumberFormat="1" applyFont="1" applyBorder="1" applyAlignment="1">
      <alignment/>
    </xf>
    <xf numFmtId="38" fontId="13" fillId="0" borderId="0" xfId="0" applyNumberFormat="1" applyFont="1" applyAlignment="1">
      <alignment/>
    </xf>
    <xf numFmtId="5" fontId="13" fillId="0" borderId="0" xfId="0" applyNumberFormat="1" applyFont="1" applyBorder="1" applyAlignment="1">
      <alignment/>
    </xf>
    <xf numFmtId="0" fontId="4" fillId="0" borderId="0" xfId="0" applyFont="1" applyAlignment="1">
      <alignment horizontal="centerContinuous"/>
    </xf>
    <xf numFmtId="0" fontId="3" fillId="0" borderId="0" xfId="0" applyFont="1" applyAlignment="1">
      <alignment/>
    </xf>
    <xf numFmtId="38" fontId="19" fillId="0" borderId="0" xfId="0" applyNumberFormat="1" applyFont="1" applyFill="1" applyBorder="1" applyAlignment="1">
      <alignment horizontal="centerContinuous"/>
    </xf>
    <xf numFmtId="0" fontId="19" fillId="0" borderId="0" xfId="0" applyFont="1" applyFill="1" applyBorder="1" applyAlignment="1">
      <alignment/>
    </xf>
    <xf numFmtId="38" fontId="4" fillId="0" borderId="0" xfId="0" applyNumberFormat="1" applyFont="1" applyFill="1" applyBorder="1" applyAlignment="1">
      <alignment horizontal="centerContinuous"/>
    </xf>
    <xf numFmtId="0" fontId="4" fillId="0" borderId="0" xfId="0" applyFont="1" applyFill="1" applyBorder="1" applyAlignment="1">
      <alignment/>
    </xf>
    <xf numFmtId="0" fontId="7" fillId="0" borderId="0" xfId="0" applyFont="1" applyFill="1" applyBorder="1" applyAlignment="1">
      <alignment horizontal="left" wrapText="1"/>
    </xf>
    <xf numFmtId="38" fontId="21" fillId="34" borderId="0" xfId="0" applyNumberFormat="1" applyFont="1" applyFill="1" applyBorder="1" applyAlignment="1">
      <alignment wrapText="1"/>
    </xf>
    <xf numFmtId="0" fontId="4" fillId="0" borderId="0" xfId="0" applyFont="1" applyFill="1" applyBorder="1" applyAlignment="1">
      <alignment horizontal="left" wrapText="1"/>
    </xf>
    <xf numFmtId="6" fontId="4" fillId="0" borderId="0" xfId="0" applyNumberFormat="1" applyFont="1" applyFill="1" applyBorder="1" applyAlignment="1">
      <alignment/>
    </xf>
    <xf numFmtId="38"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horizontal="left"/>
    </xf>
    <xf numFmtId="164" fontId="7" fillId="0" borderId="0" xfId="0" applyNumberFormat="1" applyFont="1" applyFill="1" applyBorder="1" applyAlignment="1">
      <alignment/>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xf>
    <xf numFmtId="6" fontId="4" fillId="0" borderId="0" xfId="0" applyNumberFormat="1" applyFont="1" applyFill="1" applyAlignment="1">
      <alignment horizontal="right"/>
    </xf>
    <xf numFmtId="38" fontId="4" fillId="0" borderId="0" xfId="0" applyNumberFormat="1" applyFont="1" applyFill="1" applyBorder="1" applyAlignment="1">
      <alignment horizontal="right"/>
    </xf>
    <xf numFmtId="0" fontId="5"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horizontal="left" wrapText="1"/>
    </xf>
    <xf numFmtId="6" fontId="13" fillId="0" borderId="0" xfId="0" applyNumberFormat="1" applyFont="1" applyBorder="1" applyAlignment="1">
      <alignment/>
    </xf>
    <xf numFmtId="0" fontId="4" fillId="0" borderId="0" xfId="0" applyFont="1" applyBorder="1" applyAlignment="1">
      <alignment wrapText="1"/>
    </xf>
    <xf numFmtId="0" fontId="18" fillId="0" borderId="0" xfId="0" applyFont="1" applyBorder="1" applyAlignment="1">
      <alignment/>
    </xf>
    <xf numFmtId="41" fontId="7" fillId="0" borderId="0" xfId="0" applyNumberFormat="1" applyFont="1" applyAlignment="1">
      <alignment horizontal="left"/>
    </xf>
    <xf numFmtId="41" fontId="4" fillId="0" borderId="0" xfId="0" applyNumberFormat="1" applyFont="1" applyAlignment="1">
      <alignment horizontal="left"/>
    </xf>
    <xf numFmtId="39" fontId="4" fillId="0" borderId="0" xfId="0" applyNumberFormat="1" applyFont="1" applyAlignment="1">
      <alignment/>
    </xf>
    <xf numFmtId="39" fontId="5" fillId="0" borderId="0" xfId="0" applyNumberFormat="1" applyFont="1" applyAlignment="1">
      <alignment/>
    </xf>
    <xf numFmtId="41" fontId="4" fillId="0" borderId="0" xfId="0" applyNumberFormat="1" applyFont="1" applyBorder="1" applyAlignment="1">
      <alignment horizontal="left"/>
    </xf>
    <xf numFmtId="41" fontId="4" fillId="0" borderId="0" xfId="0" applyNumberFormat="1" applyFont="1" applyFill="1" applyBorder="1" applyAlignment="1">
      <alignment wrapText="1"/>
    </xf>
    <xf numFmtId="41" fontId="7" fillId="0" borderId="0" xfId="0" applyNumberFormat="1" applyFont="1" applyFill="1" applyBorder="1" applyAlignment="1">
      <alignment horizontal="center" wrapText="1"/>
    </xf>
    <xf numFmtId="41" fontId="4" fillId="0" borderId="0" xfId="0" applyNumberFormat="1" applyFont="1" applyBorder="1" applyAlignment="1">
      <alignment horizontal="right" wrapText="1"/>
    </xf>
    <xf numFmtId="0" fontId="7" fillId="0" borderId="0" xfId="0" applyNumberFormat="1" applyFont="1" applyBorder="1" applyAlignment="1">
      <alignment horizontal="left"/>
    </xf>
    <xf numFmtId="41" fontId="4" fillId="0" borderId="0" xfId="0" applyNumberFormat="1" applyFont="1" applyAlignment="1">
      <alignment horizontal="right" wrapText="1"/>
    </xf>
    <xf numFmtId="41" fontId="7" fillId="0" borderId="0" xfId="0" applyNumberFormat="1" applyFont="1" applyAlignment="1">
      <alignment horizontal="left" wrapText="1"/>
    </xf>
    <xf numFmtId="41" fontId="4" fillId="0" borderId="0" xfId="0" applyNumberFormat="1" applyFont="1" applyAlignment="1">
      <alignment horizontal="centerContinuous" wrapText="1"/>
    </xf>
    <xf numFmtId="41" fontId="4" fillId="0" borderId="0" xfId="0" applyNumberFormat="1" applyFont="1" applyAlignment="1">
      <alignment horizontal="right"/>
    </xf>
    <xf numFmtId="41" fontId="4" fillId="0" borderId="0" xfId="0" applyNumberFormat="1" applyFont="1" applyBorder="1" applyAlignment="1">
      <alignment horizontal="right"/>
    </xf>
    <xf numFmtId="41" fontId="4" fillId="0" borderId="10" xfId="0" applyNumberFormat="1" applyFont="1" applyBorder="1" applyAlignment="1">
      <alignment/>
    </xf>
    <xf numFmtId="41" fontId="7" fillId="0" borderId="10" xfId="0" applyNumberFormat="1" applyFont="1" applyBorder="1" applyAlignment="1">
      <alignment/>
    </xf>
    <xf numFmtId="41" fontId="7" fillId="0" borderId="0" xfId="0" applyNumberFormat="1" applyFont="1" applyBorder="1" applyAlignment="1">
      <alignment/>
    </xf>
    <xf numFmtId="41" fontId="7" fillId="33" borderId="10" xfId="0" applyNumberFormat="1" applyFont="1" applyFill="1" applyBorder="1" applyAlignment="1">
      <alignment/>
    </xf>
    <xf numFmtId="41" fontId="7" fillId="33" borderId="0" xfId="0" applyNumberFormat="1" applyFont="1" applyFill="1" applyBorder="1" applyAlignment="1">
      <alignment/>
    </xf>
    <xf numFmtId="14" fontId="4" fillId="0" borderId="10" xfId="0" applyNumberFormat="1" applyFont="1" applyBorder="1" applyAlignment="1">
      <alignment/>
    </xf>
    <xf numFmtId="39" fontId="4" fillId="0" borderId="0" xfId="0" applyNumberFormat="1" applyFont="1" applyBorder="1" applyAlignment="1">
      <alignment/>
    </xf>
    <xf numFmtId="41" fontId="7" fillId="0" borderId="11" xfId="0" applyNumberFormat="1" applyFont="1" applyBorder="1" applyAlignment="1">
      <alignment/>
    </xf>
    <xf numFmtId="41" fontId="7" fillId="0" borderId="12" xfId="0" applyNumberFormat="1" applyFont="1" applyBorder="1" applyAlignment="1">
      <alignment/>
    </xf>
    <xf numFmtId="0" fontId="4" fillId="0" borderId="0" xfId="0" applyNumberFormat="1" applyFont="1" applyBorder="1" applyAlignment="1">
      <alignment horizontal="left"/>
    </xf>
    <xf numFmtId="40" fontId="6" fillId="0" borderId="0" xfId="0" applyNumberFormat="1" applyFont="1" applyBorder="1" applyAlignment="1">
      <alignment horizontal="center"/>
    </xf>
    <xf numFmtId="40" fontId="5" fillId="0" borderId="0" xfId="0" applyNumberFormat="1" applyFont="1" applyBorder="1" applyAlignment="1">
      <alignment/>
    </xf>
    <xf numFmtId="0" fontId="6" fillId="0" borderId="13" xfId="0" applyFont="1" applyBorder="1" applyAlignment="1">
      <alignment horizontal="center"/>
    </xf>
    <xf numFmtId="40" fontId="6" fillId="0" borderId="13" xfId="0" applyNumberFormat="1" applyFont="1" applyBorder="1" applyAlignment="1">
      <alignment horizontal="center"/>
    </xf>
    <xf numFmtId="40" fontId="6" fillId="0" borderId="0" xfId="0" applyNumberFormat="1" applyFont="1" applyBorder="1" applyAlignment="1">
      <alignment/>
    </xf>
    <xf numFmtId="37" fontId="5" fillId="0" borderId="0" xfId="0" applyNumberFormat="1" applyFont="1" applyBorder="1" applyAlignment="1">
      <alignment/>
    </xf>
    <xf numFmtId="38" fontId="5" fillId="0" borderId="0" xfId="0" applyNumberFormat="1" applyFont="1" applyBorder="1" applyAlignment="1">
      <alignment horizontal="left"/>
    </xf>
    <xf numFmtId="0" fontId="24" fillId="33" borderId="0" xfId="0" applyFont="1" applyFill="1" applyBorder="1" applyAlignment="1">
      <alignment horizontal="center"/>
    </xf>
    <xf numFmtId="38" fontId="24" fillId="33" borderId="0" xfId="0" applyNumberFormat="1" applyFont="1" applyFill="1" applyBorder="1" applyAlignment="1">
      <alignment horizontal="center"/>
    </xf>
    <xf numFmtId="40" fontId="5" fillId="33" borderId="0" xfId="0" applyNumberFormat="1" applyFont="1" applyFill="1" applyBorder="1" applyAlignment="1">
      <alignment/>
    </xf>
    <xf numFmtId="0" fontId="5" fillId="33" borderId="0" xfId="0" applyFont="1" applyFill="1" applyBorder="1" applyAlignment="1">
      <alignment/>
    </xf>
    <xf numFmtId="1" fontId="24" fillId="0" borderId="0" xfId="0" applyNumberFormat="1" applyFont="1" applyBorder="1" applyAlignment="1">
      <alignment/>
    </xf>
    <xf numFmtId="1" fontId="24" fillId="0" borderId="0" xfId="0" applyNumberFormat="1" applyFont="1" applyBorder="1" applyAlignment="1">
      <alignment horizontal="right"/>
    </xf>
    <xf numFmtId="38" fontId="5" fillId="0" borderId="0" xfId="0" applyNumberFormat="1" applyFont="1" applyAlignment="1">
      <alignment horizontal="right"/>
    </xf>
    <xf numFmtId="38" fontId="6" fillId="0" borderId="0" xfId="0" applyNumberFormat="1" applyFont="1" applyBorder="1" applyAlignment="1" quotePrefix="1">
      <alignment horizontal="centerContinuous"/>
    </xf>
    <xf numFmtId="43" fontId="5" fillId="0" borderId="0" xfId="0" applyNumberFormat="1" applyFont="1" applyAlignment="1">
      <alignment/>
    </xf>
    <xf numFmtId="0" fontId="6" fillId="0" borderId="0" xfId="0" applyFont="1" applyBorder="1" applyAlignment="1">
      <alignment/>
    </xf>
    <xf numFmtId="1" fontId="5" fillId="0" borderId="0" xfId="0" applyNumberFormat="1" applyFont="1" applyAlignment="1">
      <alignment/>
    </xf>
    <xf numFmtId="37" fontId="5" fillId="0" borderId="0" xfId="0" applyNumberFormat="1" applyFont="1" applyAlignment="1">
      <alignment horizontal="right"/>
    </xf>
    <xf numFmtId="41" fontId="7" fillId="0" borderId="0" xfId="0" applyNumberFormat="1" applyFont="1" applyAlignment="1">
      <alignment/>
    </xf>
    <xf numFmtId="0" fontId="9" fillId="0" borderId="0" xfId="0" applyFont="1" applyAlignment="1">
      <alignment/>
    </xf>
    <xf numFmtId="0" fontId="13" fillId="0" borderId="0" xfId="0" applyFont="1" applyAlignment="1">
      <alignment horizontal="right"/>
    </xf>
    <xf numFmtId="5" fontId="13" fillId="0" borderId="0" xfId="0" applyNumberFormat="1" applyFont="1" applyAlignment="1">
      <alignment horizontal="right"/>
    </xf>
    <xf numFmtId="0" fontId="18" fillId="0" borderId="0" xfId="0" applyFont="1" applyAlignment="1">
      <alignment/>
    </xf>
    <xf numFmtId="0" fontId="9" fillId="0" borderId="0" xfId="0" applyFont="1" applyAlignment="1">
      <alignment horizontal="left" wrapText="1"/>
    </xf>
    <xf numFmtId="0" fontId="5" fillId="0" borderId="0" xfId="0" applyFont="1" applyAlignment="1">
      <alignment horizontal="right"/>
    </xf>
    <xf numFmtId="38" fontId="30" fillId="0" borderId="0" xfId="0" applyNumberFormat="1" applyFont="1" applyFill="1" applyAlignment="1">
      <alignment horizontal="right"/>
    </xf>
    <xf numFmtId="0" fontId="3" fillId="35" borderId="0" xfId="0" applyFont="1" applyFill="1" applyBorder="1" applyAlignment="1" applyProtection="1">
      <alignment horizontal="centerContinuous"/>
      <protection locked="0"/>
    </xf>
    <xf numFmtId="0" fontId="19" fillId="0" borderId="0" xfId="0" applyFont="1" applyBorder="1" applyAlignment="1">
      <alignment/>
    </xf>
    <xf numFmtId="0" fontId="9" fillId="35" borderId="0" xfId="0" applyFont="1" applyFill="1" applyBorder="1" applyAlignment="1" applyProtection="1">
      <alignment/>
      <protection locked="0"/>
    </xf>
    <xf numFmtId="0" fontId="9" fillId="35" borderId="0" xfId="0" applyFont="1" applyFill="1" applyBorder="1" applyAlignment="1" applyProtection="1">
      <alignment horizontal="left"/>
      <protection locked="0"/>
    </xf>
    <xf numFmtId="0" fontId="13" fillId="35" borderId="0" xfId="0" applyFont="1" applyFill="1" applyBorder="1" applyAlignment="1" applyProtection="1">
      <alignment/>
      <protection locked="0"/>
    </xf>
    <xf numFmtId="41" fontId="13" fillId="35" borderId="0" xfId="0" applyNumberFormat="1" applyFont="1" applyFill="1" applyBorder="1" applyAlignment="1" applyProtection="1">
      <alignment/>
      <protection locked="0"/>
    </xf>
    <xf numFmtId="0" fontId="9" fillId="35" borderId="0" xfId="0" applyFont="1" applyFill="1" applyBorder="1" applyAlignment="1" applyProtection="1">
      <alignment horizontal="center"/>
      <protection locked="0"/>
    </xf>
    <xf numFmtId="8" fontId="13" fillId="0" borderId="0" xfId="0" applyNumberFormat="1" applyFont="1" applyBorder="1" applyAlignment="1">
      <alignment/>
    </xf>
    <xf numFmtId="6" fontId="9" fillId="0" borderId="0" xfId="0" applyNumberFormat="1" applyFont="1" applyBorder="1" applyAlignment="1">
      <alignment horizontal="right"/>
    </xf>
    <xf numFmtId="38" fontId="13" fillId="0" borderId="0" xfId="0" applyNumberFormat="1" applyFont="1" applyBorder="1" applyAlignment="1">
      <alignment horizontal="right"/>
    </xf>
    <xf numFmtId="38" fontId="9" fillId="0" borderId="0" xfId="0" applyNumberFormat="1" applyFont="1" applyAlignment="1">
      <alignment/>
    </xf>
    <xf numFmtId="5" fontId="13" fillId="0" borderId="0" xfId="0" applyNumberFormat="1" applyFont="1" applyBorder="1" applyAlignment="1">
      <alignment horizontal="right"/>
    </xf>
    <xf numFmtId="164" fontId="13" fillId="0" borderId="0" xfId="0" applyNumberFormat="1" applyFont="1" applyBorder="1" applyAlignment="1">
      <alignment/>
    </xf>
    <xf numFmtId="0" fontId="32" fillId="0" borderId="0" xfId="0" applyFont="1" applyBorder="1" applyAlignment="1">
      <alignment horizontal="left" wrapText="1"/>
    </xf>
    <xf numFmtId="38" fontId="4" fillId="0" borderId="0" xfId="0" applyNumberFormat="1" applyFont="1" applyFill="1" applyBorder="1" applyAlignment="1">
      <alignment/>
    </xf>
    <xf numFmtId="0" fontId="9" fillId="0" borderId="0" xfId="0" applyFont="1" applyBorder="1" applyAlignment="1">
      <alignment/>
    </xf>
    <xf numFmtId="41" fontId="7" fillId="0" borderId="0" xfId="0" applyNumberFormat="1" applyFont="1" applyAlignment="1">
      <alignment horizontal="centerContinuous" wrapText="1"/>
    </xf>
    <xf numFmtId="8" fontId="4" fillId="0" borderId="0" xfId="0" applyNumberFormat="1" applyFont="1" applyFill="1" applyBorder="1" applyAlignment="1">
      <alignment/>
    </xf>
    <xf numFmtId="37" fontId="13" fillId="0" borderId="0" xfId="0" applyNumberFormat="1" applyFont="1" applyBorder="1" applyAlignment="1">
      <alignment/>
    </xf>
    <xf numFmtId="0" fontId="32" fillId="0" borderId="0" xfId="0" applyFont="1" applyBorder="1" applyAlignment="1" quotePrefix="1">
      <alignment horizontal="left" wrapText="1"/>
    </xf>
    <xf numFmtId="164" fontId="13" fillId="0" borderId="0" xfId="42" applyNumberFormat="1" applyFont="1" applyBorder="1" applyAlignment="1">
      <alignment horizontal="right"/>
    </xf>
    <xf numFmtId="0" fontId="7" fillId="0" borderId="0" xfId="0" applyNumberFormat="1" applyFont="1" applyAlignment="1">
      <alignment horizontal="centerContinuous" wrapText="1"/>
    </xf>
    <xf numFmtId="0" fontId="7" fillId="0" borderId="0" xfId="0" applyNumberFormat="1" applyFont="1" applyAlignment="1">
      <alignment horizontal="center" wrapText="1"/>
    </xf>
    <xf numFmtId="0" fontId="7" fillId="0" borderId="0" xfId="0" applyNumberFormat="1" applyFont="1" applyAlignment="1">
      <alignment horizontal="center"/>
    </xf>
    <xf numFmtId="164" fontId="13" fillId="0" borderId="0" xfId="42" applyNumberFormat="1" applyFont="1" applyFill="1" applyAlignment="1">
      <alignment horizontal="right"/>
    </xf>
    <xf numFmtId="164" fontId="13" fillId="0" borderId="0" xfId="42" applyNumberFormat="1" applyFont="1" applyBorder="1" applyAlignment="1">
      <alignment/>
    </xf>
    <xf numFmtId="164" fontId="9" fillId="0" borderId="14" xfId="42" applyNumberFormat="1" applyFont="1" applyBorder="1" applyAlignment="1">
      <alignment horizontal="right"/>
    </xf>
    <xf numFmtId="164" fontId="9" fillId="0" borderId="15" xfId="42"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58"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37" fillId="0" borderId="0" xfId="0" applyFont="1" applyAlignment="1">
      <alignment/>
    </xf>
    <xf numFmtId="39" fontId="7" fillId="0" borderId="0" xfId="0" applyNumberFormat="1" applyFont="1" applyAlignment="1">
      <alignment/>
    </xf>
    <xf numFmtId="0" fontId="30" fillId="0" borderId="0" xfId="0" applyFont="1" applyBorder="1" applyAlignment="1">
      <alignment/>
    </xf>
    <xf numFmtId="164" fontId="13" fillId="0" borderId="14" xfId="42" applyNumberFormat="1" applyFont="1" applyFill="1" applyBorder="1" applyAlignment="1">
      <alignment horizontal="right"/>
    </xf>
    <xf numFmtId="0" fontId="7" fillId="0" borderId="0" xfId="0" applyFont="1" applyBorder="1" applyAlignment="1">
      <alignment horizontal="center"/>
    </xf>
    <xf numFmtId="0" fontId="13" fillId="0" borderId="0" xfId="0" applyFont="1" applyAlignment="1">
      <alignment horizontal="centerContinuous"/>
    </xf>
    <xf numFmtId="0" fontId="9" fillId="0" borderId="0" xfId="0" applyFont="1" applyAlignment="1">
      <alignment horizontal="centerContinuous"/>
    </xf>
    <xf numFmtId="43" fontId="4" fillId="0" borderId="0" xfId="42" applyFont="1" applyAlignment="1">
      <alignment/>
    </xf>
    <xf numFmtId="38" fontId="7" fillId="0" borderId="0" xfId="0" applyNumberFormat="1" applyFont="1" applyFill="1" applyBorder="1" applyAlignment="1">
      <alignment/>
    </xf>
    <xf numFmtId="0" fontId="30" fillId="0" borderId="0" xfId="0" applyFont="1" applyBorder="1" applyAlignment="1">
      <alignment horizontal="left" wrapText="1"/>
    </xf>
    <xf numFmtId="164" fontId="13" fillId="0" borderId="13" xfId="42" applyNumberFormat="1" applyFont="1" applyBorder="1" applyAlignment="1">
      <alignment/>
    </xf>
    <xf numFmtId="37" fontId="7" fillId="0" borderId="0" xfId="0" applyNumberFormat="1" applyFont="1" applyBorder="1" applyAlignment="1">
      <alignment/>
    </xf>
    <xf numFmtId="43" fontId="13" fillId="0" borderId="0" xfId="42" applyFont="1" applyBorder="1" applyAlignment="1">
      <alignment horizontal="right"/>
    </xf>
    <xf numFmtId="43" fontId="13" fillId="0" borderId="0" xfId="42" applyFont="1" applyBorder="1" applyAlignment="1">
      <alignment/>
    </xf>
    <xf numFmtId="40" fontId="6" fillId="0" borderId="16" xfId="0" applyNumberFormat="1" applyFont="1" applyBorder="1" applyAlignment="1">
      <alignment horizontal="center"/>
    </xf>
    <xf numFmtId="40" fontId="5" fillId="0" borderId="16" xfId="0" applyNumberFormat="1" applyFont="1" applyBorder="1" applyAlignment="1">
      <alignment/>
    </xf>
    <xf numFmtId="0" fontId="5" fillId="0" borderId="10" xfId="0" applyFont="1" applyBorder="1" applyAlignment="1">
      <alignment horizontal="left"/>
    </xf>
    <xf numFmtId="40" fontId="5" fillId="0" borderId="0" xfId="0" applyNumberFormat="1" applyFont="1" applyBorder="1" applyAlignment="1">
      <alignment horizontal="centerContinuous"/>
    </xf>
    <xf numFmtId="2" fontId="5" fillId="0" borderId="0" xfId="0" applyNumberFormat="1" applyFont="1" applyBorder="1" applyAlignment="1">
      <alignment/>
    </xf>
    <xf numFmtId="0" fontId="6" fillId="0" borderId="10" xfId="0" applyFont="1" applyBorder="1" applyAlignment="1">
      <alignment/>
    </xf>
    <xf numFmtId="0" fontId="6" fillId="0" borderId="17" xfId="0" applyFont="1" applyBorder="1" applyAlignment="1">
      <alignment horizontal="center"/>
    </xf>
    <xf numFmtId="0" fontId="5" fillId="33" borderId="10" xfId="0" applyFont="1" applyFill="1" applyBorder="1" applyAlignment="1">
      <alignment/>
    </xf>
    <xf numFmtId="43" fontId="5" fillId="0" borderId="0" xfId="0" applyNumberFormat="1" applyFont="1" applyBorder="1" applyAlignment="1">
      <alignment horizontal="right"/>
    </xf>
    <xf numFmtId="43" fontId="5" fillId="0" borderId="0" xfId="0" applyNumberFormat="1" applyFont="1" applyAlignment="1">
      <alignment horizontal="right"/>
    </xf>
    <xf numFmtId="14" fontId="5" fillId="0" borderId="10" xfId="0" applyNumberFormat="1" applyFont="1" applyBorder="1" applyAlignment="1">
      <alignment/>
    </xf>
    <xf numFmtId="38" fontId="6" fillId="0" borderId="0" xfId="0" applyNumberFormat="1" applyFont="1" applyBorder="1" applyAlignment="1">
      <alignment/>
    </xf>
    <xf numFmtId="0" fontId="5" fillId="0" borderId="10" xfId="0" applyFont="1" applyBorder="1" applyAlignment="1">
      <alignment/>
    </xf>
    <xf numFmtId="38" fontId="6" fillId="0" borderId="0" xfId="0" applyNumberFormat="1" applyFont="1" applyBorder="1" applyAlignment="1">
      <alignment horizontal="right"/>
    </xf>
    <xf numFmtId="43" fontId="6" fillId="0" borderId="0" xfId="0" applyNumberFormat="1" applyFont="1" applyAlignment="1">
      <alignment horizontal="centerContinuous"/>
    </xf>
    <xf numFmtId="0" fontId="9" fillId="0" borderId="0" xfId="0" applyNumberFormat="1" applyFont="1" applyBorder="1" applyAlignment="1">
      <alignment horizontal="left"/>
    </xf>
    <xf numFmtId="43" fontId="6" fillId="0" borderId="0" xfId="0" applyNumberFormat="1" applyFont="1" applyAlignment="1">
      <alignment/>
    </xf>
    <xf numFmtId="43" fontId="5" fillId="0" borderId="0" xfId="0" applyNumberFormat="1" applyFont="1" applyBorder="1" applyAlignment="1">
      <alignment/>
    </xf>
    <xf numFmtId="43" fontId="6" fillId="0" borderId="0" xfId="0" applyNumberFormat="1" applyFont="1" applyBorder="1" applyAlignment="1">
      <alignment/>
    </xf>
    <xf numFmtId="41" fontId="40" fillId="0" borderId="11" xfId="0" applyNumberFormat="1" applyFont="1" applyBorder="1" applyAlignment="1">
      <alignment/>
    </xf>
    <xf numFmtId="40" fontId="4" fillId="0" borderId="0" xfId="0" applyNumberFormat="1" applyFont="1" applyBorder="1" applyAlignment="1">
      <alignment/>
    </xf>
    <xf numFmtId="0" fontId="5" fillId="0" borderId="0" xfId="42" applyNumberFormat="1" applyFont="1" applyBorder="1" applyAlignment="1">
      <alignment/>
    </xf>
    <xf numFmtId="164" fontId="5" fillId="0" borderId="0" xfId="0" applyNumberFormat="1" applyFont="1" applyAlignment="1">
      <alignment/>
    </xf>
    <xf numFmtId="164" fontId="5" fillId="0" borderId="0" xfId="42" applyNumberFormat="1" applyFont="1" applyAlignment="1">
      <alignment/>
    </xf>
    <xf numFmtId="169" fontId="4" fillId="0" borderId="0" xfId="0" applyNumberFormat="1" applyFont="1" applyBorder="1" applyAlignment="1">
      <alignment horizontal="right"/>
    </xf>
    <xf numFmtId="169" fontId="4" fillId="0" borderId="14" xfId="0" applyNumberFormat="1" applyFont="1" applyBorder="1" applyAlignment="1">
      <alignment horizontal="right"/>
    </xf>
    <xf numFmtId="169" fontId="4" fillId="0" borderId="0" xfId="0" applyNumberFormat="1" applyFont="1" applyAlignment="1">
      <alignment horizontal="right"/>
    </xf>
    <xf numFmtId="169" fontId="4" fillId="0" borderId="0" xfId="0" applyNumberFormat="1" applyFont="1" applyAlignment="1">
      <alignment horizontal="centerContinuous"/>
    </xf>
    <xf numFmtId="169" fontId="4" fillId="0" borderId="0" xfId="0" applyNumberFormat="1" applyFont="1" applyBorder="1" applyAlignment="1">
      <alignment/>
    </xf>
    <xf numFmtId="169" fontId="4" fillId="0" borderId="18" xfId="0" applyNumberFormat="1" applyFont="1" applyBorder="1" applyAlignment="1">
      <alignment/>
    </xf>
    <xf numFmtId="169" fontId="7" fillId="0" borderId="0" xfId="0" applyNumberFormat="1" applyFont="1" applyBorder="1" applyAlignment="1">
      <alignment/>
    </xf>
    <xf numFmtId="169" fontId="7" fillId="0" borderId="18" xfId="0" applyNumberFormat="1" applyFont="1" applyBorder="1" applyAlignment="1">
      <alignment/>
    </xf>
    <xf numFmtId="169" fontId="4" fillId="33" borderId="0" xfId="0" applyNumberFormat="1" applyFont="1" applyFill="1" applyBorder="1" applyAlignment="1">
      <alignment/>
    </xf>
    <xf numFmtId="169" fontId="7" fillId="33" borderId="18" xfId="0" applyNumberFormat="1" applyFont="1" applyFill="1" applyBorder="1" applyAlignment="1">
      <alignment/>
    </xf>
    <xf numFmtId="169" fontId="7" fillId="0" borderId="15" xfId="0" applyNumberFormat="1" applyFont="1" applyBorder="1" applyAlignment="1">
      <alignment/>
    </xf>
    <xf numFmtId="169" fontId="7" fillId="0" borderId="19" xfId="0" applyNumberFormat="1" applyFont="1" applyBorder="1" applyAlignment="1">
      <alignment/>
    </xf>
    <xf numFmtId="169" fontId="7" fillId="0" borderId="11" xfId="0" applyNumberFormat="1" applyFont="1" applyBorder="1" applyAlignment="1">
      <alignment/>
    </xf>
    <xf numFmtId="169" fontId="4" fillId="0" borderId="20" xfId="0" applyNumberFormat="1" applyFont="1" applyBorder="1" applyAlignment="1">
      <alignment/>
    </xf>
    <xf numFmtId="169" fontId="4" fillId="0" borderId="0" xfId="0" applyNumberFormat="1" applyFont="1" applyAlignment="1">
      <alignment/>
    </xf>
    <xf numFmtId="169" fontId="7" fillId="0" borderId="0" xfId="0" applyNumberFormat="1" applyFont="1" applyAlignment="1">
      <alignment/>
    </xf>
    <xf numFmtId="40" fontId="5" fillId="0" borderId="21" xfId="0" applyNumberFormat="1" applyFont="1" applyBorder="1" applyAlignment="1">
      <alignment/>
    </xf>
    <xf numFmtId="40" fontId="5" fillId="0" borderId="18" xfId="0" applyNumberFormat="1" applyFont="1" applyBorder="1" applyAlignment="1">
      <alignment/>
    </xf>
    <xf numFmtId="40" fontId="6" fillId="0" borderId="22" xfId="0" applyNumberFormat="1" applyFont="1" applyBorder="1" applyAlignment="1">
      <alignment horizontal="center"/>
    </xf>
    <xf numFmtId="40" fontId="5" fillId="33" borderId="18" xfId="0" applyNumberFormat="1" applyFont="1" applyFill="1" applyBorder="1" applyAlignment="1">
      <alignment/>
    </xf>
    <xf numFmtId="40" fontId="6" fillId="0" borderId="15" xfId="0" applyNumberFormat="1" applyFont="1" applyBorder="1" applyAlignment="1">
      <alignment/>
    </xf>
    <xf numFmtId="40" fontId="6" fillId="0" borderId="19" xfId="0" applyNumberFormat="1" applyFont="1" applyBorder="1" applyAlignment="1">
      <alignment/>
    </xf>
    <xf numFmtId="40" fontId="4" fillId="0" borderId="18" xfId="0" applyNumberFormat="1" applyFont="1" applyBorder="1" applyAlignment="1">
      <alignment/>
    </xf>
    <xf numFmtId="40" fontId="7" fillId="0" borderId="0" xfId="0" applyNumberFormat="1" applyFont="1" applyBorder="1" applyAlignment="1">
      <alignment/>
    </xf>
    <xf numFmtId="40" fontId="7" fillId="0" borderId="11" xfId="0" applyNumberFormat="1" applyFont="1" applyBorder="1" applyAlignment="1">
      <alignment/>
    </xf>
    <xf numFmtId="40" fontId="4" fillId="0" borderId="20" xfId="0" applyNumberFormat="1" applyFont="1" applyBorder="1" applyAlignment="1">
      <alignment/>
    </xf>
    <xf numFmtId="40" fontId="6" fillId="0" borderId="0" xfId="0" applyNumberFormat="1" applyFont="1" applyBorder="1" applyAlignment="1">
      <alignment/>
    </xf>
    <xf numFmtId="40" fontId="6" fillId="0" borderId="0" xfId="0" applyNumberFormat="1" applyFont="1" applyBorder="1" applyAlignment="1">
      <alignment horizontal="right"/>
    </xf>
    <xf numFmtId="40" fontId="6" fillId="0" borderId="14" xfId="0" applyNumberFormat="1" applyFont="1" applyBorder="1" applyAlignment="1">
      <alignment/>
    </xf>
    <xf numFmtId="40" fontId="5" fillId="0" borderId="0" xfId="0" applyNumberFormat="1" applyFont="1" applyBorder="1" applyAlignment="1">
      <alignment horizontal="right"/>
    </xf>
    <xf numFmtId="40" fontId="5" fillId="0" borderId="0" xfId="0" applyNumberFormat="1" applyFont="1" applyAlignment="1">
      <alignment horizontal="right"/>
    </xf>
    <xf numFmtId="169" fontId="4" fillId="0" borderId="0" xfId="0" applyNumberFormat="1" applyFont="1" applyAlignment="1">
      <alignment horizontal="right" wrapText="1"/>
    </xf>
    <xf numFmtId="9" fontId="4" fillId="0" borderId="0" xfId="58" applyFont="1" applyAlignment="1">
      <alignment horizontal="left"/>
    </xf>
    <xf numFmtId="9" fontId="4" fillId="0" borderId="0" xfId="58" applyFont="1" applyBorder="1" applyAlignment="1">
      <alignment horizontal="left"/>
    </xf>
    <xf numFmtId="9" fontId="7" fillId="0" borderId="0" xfId="58" applyFont="1" applyFill="1" applyBorder="1" applyAlignment="1">
      <alignment horizontal="center" wrapText="1"/>
    </xf>
    <xf numFmtId="9" fontId="4" fillId="0" borderId="0" xfId="58" applyFont="1" applyBorder="1" applyAlignment="1">
      <alignment horizontal="right" wrapText="1"/>
    </xf>
    <xf numFmtId="9" fontId="4" fillId="0" borderId="0" xfId="58" applyFont="1" applyAlignment="1">
      <alignment horizontal="centerContinuous" wrapText="1"/>
    </xf>
    <xf numFmtId="9" fontId="4" fillId="0" borderId="0" xfId="58" applyFont="1" applyAlignment="1">
      <alignment horizontal="right"/>
    </xf>
    <xf numFmtId="9" fontId="4" fillId="0" borderId="0" xfId="58" applyFont="1" applyAlignment="1">
      <alignment/>
    </xf>
    <xf numFmtId="169" fontId="4" fillId="0" borderId="0" xfId="0" applyNumberFormat="1" applyFont="1" applyBorder="1" applyAlignment="1">
      <alignment horizontal="right" wrapText="1"/>
    </xf>
    <xf numFmtId="169" fontId="4" fillId="0" borderId="0" xfId="0" applyNumberFormat="1" applyFont="1" applyBorder="1" applyAlignment="1">
      <alignment horizontal="center" wrapText="1"/>
    </xf>
    <xf numFmtId="169" fontId="4" fillId="0" borderId="14" xfId="0" applyNumberFormat="1" applyFont="1" applyBorder="1" applyAlignment="1">
      <alignment horizontal="right" wrapText="1"/>
    </xf>
    <xf numFmtId="169" fontId="39" fillId="0" borderId="0" xfId="0" applyNumberFormat="1" applyFont="1" applyAlignment="1">
      <alignment horizontal="right" wrapText="1"/>
    </xf>
    <xf numFmtId="169" fontId="39" fillId="0" borderId="14" xfId="0" applyNumberFormat="1" applyFont="1" applyBorder="1" applyAlignment="1">
      <alignment horizontal="right" wrapText="1"/>
    </xf>
    <xf numFmtId="169" fontId="7" fillId="0" borderId="0" xfId="0" applyNumberFormat="1" applyFont="1" applyAlignment="1">
      <alignment horizontal="right" wrapText="1"/>
    </xf>
    <xf numFmtId="169" fontId="4" fillId="0" borderId="13" xfId="0" applyNumberFormat="1" applyFont="1" applyBorder="1" applyAlignment="1">
      <alignment horizontal="right" wrapText="1"/>
    </xf>
    <xf numFmtId="9" fontId="4" fillId="0" borderId="0" xfId="58" applyFont="1" applyAlignment="1">
      <alignment horizontal="right" wrapText="1"/>
    </xf>
    <xf numFmtId="9" fontId="7" fillId="0" borderId="0" xfId="58" applyFont="1" applyAlignment="1">
      <alignment horizontal="center"/>
    </xf>
    <xf numFmtId="9" fontId="4" fillId="0" borderId="0" xfId="58" applyFont="1" applyBorder="1" applyAlignment="1">
      <alignment/>
    </xf>
    <xf numFmtId="9" fontId="7" fillId="0" borderId="0" xfId="58" applyFont="1" applyBorder="1" applyAlignment="1">
      <alignment/>
    </xf>
    <xf numFmtId="43" fontId="26" fillId="0" borderId="0" xfId="42" applyFont="1" applyAlignment="1">
      <alignment/>
    </xf>
    <xf numFmtId="43" fontId="41" fillId="0" borderId="0" xfId="42" applyFont="1" applyBorder="1" applyAlignment="1">
      <alignment/>
    </xf>
    <xf numFmtId="43" fontId="28" fillId="0" borderId="0" xfId="42" applyFont="1" applyBorder="1" applyAlignment="1">
      <alignment/>
    </xf>
    <xf numFmtId="43" fontId="42" fillId="0" borderId="0" xfId="42" applyFont="1" applyAlignment="1">
      <alignment/>
    </xf>
    <xf numFmtId="43" fontId="27" fillId="0" borderId="0" xfId="42" applyFont="1" applyAlignment="1">
      <alignment/>
    </xf>
    <xf numFmtId="43" fontId="39" fillId="0" borderId="0" xfId="42" applyFont="1" applyAlignment="1">
      <alignment/>
    </xf>
    <xf numFmtId="39" fontId="39" fillId="0" borderId="0" xfId="0" applyNumberFormat="1" applyFont="1" applyAlignment="1">
      <alignment/>
    </xf>
    <xf numFmtId="43" fontId="5" fillId="0" borderId="0" xfId="42" applyFont="1" applyBorder="1" applyAlignment="1">
      <alignment/>
    </xf>
    <xf numFmtId="0" fontId="5" fillId="0" borderId="16" xfId="0" applyFont="1" applyBorder="1" applyAlignment="1">
      <alignment/>
    </xf>
    <xf numFmtId="0" fontId="5" fillId="0" borderId="11" xfId="0" applyFont="1" applyBorder="1" applyAlignment="1">
      <alignment/>
    </xf>
    <xf numFmtId="43" fontId="23" fillId="0" borderId="0" xfId="42" applyFont="1" applyAlignment="1">
      <alignment/>
    </xf>
    <xf numFmtId="169" fontId="23" fillId="33" borderId="0" xfId="0" applyNumberFormat="1" applyFont="1" applyFill="1" applyBorder="1" applyAlignment="1">
      <alignment/>
    </xf>
    <xf numFmtId="169" fontId="23" fillId="0" borderId="18" xfId="0" applyNumberFormat="1" applyFont="1" applyBorder="1" applyAlignment="1">
      <alignment/>
    </xf>
    <xf numFmtId="39" fontId="23" fillId="0" borderId="0" xfId="0" applyNumberFormat="1" applyFont="1" applyAlignment="1">
      <alignment/>
    </xf>
    <xf numFmtId="41" fontId="39" fillId="0" borderId="10" xfId="0" applyNumberFormat="1" applyFont="1" applyBorder="1" applyAlignment="1">
      <alignment/>
    </xf>
    <xf numFmtId="37" fontId="30" fillId="0" borderId="0" xfId="0" applyNumberFormat="1" applyFont="1" applyBorder="1" applyAlignment="1">
      <alignment/>
    </xf>
    <xf numFmtId="164" fontId="30" fillId="0" borderId="0" xfId="42" applyNumberFormat="1" applyFont="1" applyBorder="1" applyAlignment="1">
      <alignment/>
    </xf>
    <xf numFmtId="0" fontId="36" fillId="0" borderId="0" xfId="0" applyFont="1" applyFill="1" applyBorder="1" applyAlignment="1">
      <alignment/>
    </xf>
    <xf numFmtId="38" fontId="43" fillId="0" borderId="0" xfId="0" applyNumberFormat="1" applyFont="1" applyFill="1" applyBorder="1" applyAlignment="1">
      <alignment horizontal="centerContinuous"/>
    </xf>
    <xf numFmtId="0" fontId="43" fillId="0" borderId="0" xfId="0" applyFont="1" applyFill="1" applyBorder="1" applyAlignment="1">
      <alignment/>
    </xf>
    <xf numFmtId="44" fontId="6" fillId="0" borderId="0" xfId="44" applyFont="1" applyAlignment="1">
      <alignment horizontal="centerContinuous"/>
    </xf>
    <xf numFmtId="44" fontId="5" fillId="0" borderId="0" xfId="44" applyFont="1" applyAlignment="1">
      <alignment horizontal="centerContinuous"/>
    </xf>
    <xf numFmtId="1" fontId="7" fillId="0" borderId="11"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7" fillId="0" borderId="11" xfId="0" applyFont="1" applyBorder="1" applyAlignment="1">
      <alignment horizontal="centerContinuous"/>
    </xf>
    <xf numFmtId="43" fontId="13" fillId="0" borderId="0" xfId="0" applyNumberFormat="1" applyFont="1" applyBorder="1" applyAlignment="1">
      <alignment horizontal="right"/>
    </xf>
    <xf numFmtId="165" fontId="9" fillId="0" borderId="0" xfId="0" applyNumberFormat="1" applyFont="1" applyBorder="1" applyAlignment="1">
      <alignment horizontal="right"/>
    </xf>
    <xf numFmtId="0" fontId="30" fillId="0" borderId="0" xfId="0" applyFont="1" applyBorder="1" applyAlignment="1" quotePrefix="1">
      <alignment/>
    </xf>
    <xf numFmtId="39" fontId="30" fillId="0" borderId="0" xfId="0" applyNumberFormat="1" applyFont="1" applyAlignment="1">
      <alignment horizontal="right"/>
    </xf>
    <xf numFmtId="39" fontId="13" fillId="0" borderId="0" xfId="0" applyNumberFormat="1" applyFont="1" applyBorder="1" applyAlignment="1">
      <alignment/>
    </xf>
    <xf numFmtId="37" fontId="25" fillId="0" borderId="0" xfId="0" applyNumberFormat="1" applyFont="1" applyAlignment="1">
      <alignment horizontal="right"/>
    </xf>
    <xf numFmtId="164" fontId="4" fillId="0" borderId="0" xfId="0" applyNumberFormat="1" applyFont="1" applyFill="1" applyBorder="1" applyAlignment="1">
      <alignment/>
    </xf>
    <xf numFmtId="164" fontId="13" fillId="0" borderId="0" xfId="42" applyNumberFormat="1" applyFont="1" applyAlignment="1">
      <alignment/>
    </xf>
    <xf numFmtId="0" fontId="45" fillId="0" borderId="0" xfId="0" applyFont="1" applyAlignment="1">
      <alignment/>
    </xf>
    <xf numFmtId="0" fontId="45" fillId="0" borderId="0" xfId="0" applyFont="1" applyBorder="1" applyAlignment="1">
      <alignment/>
    </xf>
    <xf numFmtId="0" fontId="43" fillId="0" borderId="0" xfId="0" applyFont="1" applyBorder="1" applyAlignment="1">
      <alignment horizontal="centerContinuous"/>
    </xf>
    <xf numFmtId="164" fontId="45" fillId="0" borderId="0" xfId="42" applyNumberFormat="1" applyFont="1" applyBorder="1" applyAlignment="1">
      <alignment/>
    </xf>
    <xf numFmtId="0" fontId="46" fillId="35" borderId="0" xfId="0" applyFont="1" applyFill="1" applyBorder="1" applyAlignment="1" applyProtection="1">
      <alignment horizontal="centerContinuous"/>
      <protection locked="0"/>
    </xf>
    <xf numFmtId="0" fontId="47" fillId="0" borderId="0" xfId="0" applyFont="1" applyBorder="1" applyAlignment="1">
      <alignment/>
    </xf>
    <xf numFmtId="0" fontId="44" fillId="0" borderId="0" xfId="0" applyFont="1" applyBorder="1" applyAlignment="1">
      <alignment/>
    </xf>
    <xf numFmtId="1" fontId="24" fillId="0" borderId="0" xfId="0" applyNumberFormat="1" applyFont="1" applyBorder="1" applyAlignment="1">
      <alignment horizontal="left"/>
    </xf>
    <xf numFmtId="43" fontId="4" fillId="0" borderId="0" xfId="42" applyFont="1" applyBorder="1" applyAlignment="1">
      <alignment/>
    </xf>
    <xf numFmtId="43" fontId="7" fillId="0" borderId="0" xfId="42" applyFont="1" applyBorder="1" applyAlignment="1">
      <alignment/>
    </xf>
    <xf numFmtId="43" fontId="7" fillId="33" borderId="0" xfId="42" applyFont="1" applyFill="1" applyBorder="1" applyAlignment="1">
      <alignment/>
    </xf>
    <xf numFmtId="43" fontId="7" fillId="0" borderId="11" xfId="42" applyFont="1" applyBorder="1" applyAlignment="1">
      <alignment/>
    </xf>
    <xf numFmtId="166" fontId="7" fillId="0" borderId="0" xfId="0" applyNumberFormat="1" applyFont="1" applyBorder="1" applyAlignment="1">
      <alignment/>
    </xf>
    <xf numFmtId="44" fontId="48" fillId="0" borderId="15" xfId="44" applyFont="1" applyBorder="1" applyAlignment="1">
      <alignment/>
    </xf>
    <xf numFmtId="169" fontId="26" fillId="0" borderId="0" xfId="0" applyNumberFormat="1" applyFont="1" applyBorder="1" applyAlignment="1">
      <alignment horizontal="right" wrapText="1"/>
    </xf>
    <xf numFmtId="169" fontId="26" fillId="0" borderId="0" xfId="0" applyNumberFormat="1" applyFont="1" applyBorder="1" applyAlignment="1">
      <alignment horizontal="center" wrapText="1"/>
    </xf>
    <xf numFmtId="169" fontId="26" fillId="0" borderId="14" xfId="0" applyNumberFormat="1" applyFont="1" applyBorder="1" applyAlignment="1">
      <alignment horizontal="right"/>
    </xf>
    <xf numFmtId="169" fontId="26" fillId="0" borderId="0" xfId="0" applyNumberFormat="1" applyFont="1" applyAlignment="1">
      <alignment horizontal="right"/>
    </xf>
    <xf numFmtId="169" fontId="21" fillId="0" borderId="0" xfId="0" applyNumberFormat="1" applyFont="1" applyFill="1" applyBorder="1" applyAlignment="1">
      <alignment horizontal="right"/>
    </xf>
    <xf numFmtId="169" fontId="21" fillId="0" borderId="14" xfId="0" applyNumberFormat="1" applyFont="1" applyFill="1" applyBorder="1" applyAlignment="1">
      <alignment horizontal="right"/>
    </xf>
    <xf numFmtId="169" fontId="21" fillId="0" borderId="0" xfId="0" applyNumberFormat="1" applyFont="1" applyAlignment="1">
      <alignment horizontal="right" wrapText="1"/>
    </xf>
    <xf numFmtId="169" fontId="20" fillId="0" borderId="0" xfId="0" applyNumberFormat="1" applyFont="1" applyAlignment="1">
      <alignment horizontal="right" wrapText="1"/>
    </xf>
    <xf numFmtId="169" fontId="39" fillId="0" borderId="18" xfId="0" applyNumberFormat="1" applyFont="1" applyBorder="1" applyAlignment="1">
      <alignment/>
    </xf>
    <xf numFmtId="43" fontId="7" fillId="0" borderId="15" xfId="42" applyFont="1" applyBorder="1" applyAlignment="1">
      <alignment/>
    </xf>
    <xf numFmtId="43" fontId="7" fillId="0" borderId="0" xfId="42" applyFont="1" applyAlignment="1">
      <alignment/>
    </xf>
    <xf numFmtId="40" fontId="21" fillId="0" borderId="0" xfId="0" applyNumberFormat="1" applyFont="1" applyFill="1" applyBorder="1" applyAlignment="1">
      <alignment horizontal="right"/>
    </xf>
    <xf numFmtId="40" fontId="21" fillId="0" borderId="14" xfId="0" applyNumberFormat="1" applyFont="1" applyFill="1" applyBorder="1" applyAlignment="1">
      <alignment horizontal="right"/>
    </xf>
    <xf numFmtId="43" fontId="21" fillId="0" borderId="0" xfId="42" applyFont="1" applyFill="1" applyBorder="1" applyAlignment="1">
      <alignment horizontal="right"/>
    </xf>
    <xf numFmtId="38" fontId="6" fillId="0" borderId="0" xfId="0" applyNumberFormat="1" applyFont="1" applyBorder="1" applyAlignment="1">
      <alignment horizontal="centerContinuous"/>
    </xf>
    <xf numFmtId="14" fontId="5" fillId="0" borderId="0" xfId="0" applyNumberFormat="1" applyFont="1" applyBorder="1" applyAlignment="1">
      <alignment/>
    </xf>
    <xf numFmtId="38" fontId="28" fillId="0" borderId="0" xfId="0" applyNumberFormat="1" applyFont="1" applyBorder="1" applyAlignment="1">
      <alignment/>
    </xf>
    <xf numFmtId="0" fontId="5" fillId="0" borderId="0"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center"/>
    </xf>
    <xf numFmtId="43" fontId="48" fillId="0" borderId="0" xfId="42" applyFont="1" applyBorder="1" applyAlignment="1">
      <alignment/>
    </xf>
    <xf numFmtId="41" fontId="7" fillId="0" borderId="25" xfId="0" applyNumberFormat="1" applyFont="1" applyBorder="1" applyAlignment="1">
      <alignment/>
    </xf>
    <xf numFmtId="41" fontId="40" fillId="0" borderId="0" xfId="0" applyNumberFormat="1" applyFont="1" applyBorder="1" applyAlignment="1">
      <alignment/>
    </xf>
    <xf numFmtId="169" fontId="39" fillId="0" borderId="0" xfId="0" applyNumberFormat="1" applyFont="1" applyBorder="1" applyAlignment="1">
      <alignment horizontal="right" wrapText="1"/>
    </xf>
    <xf numFmtId="44" fontId="7" fillId="0" borderId="14" xfId="44" applyFont="1" applyBorder="1" applyAlignment="1">
      <alignment horizontal="right" wrapText="1"/>
    </xf>
    <xf numFmtId="43" fontId="20" fillId="0" borderId="0" xfId="0" applyNumberFormat="1" applyFont="1" applyAlignment="1">
      <alignment horizontal="right" wrapText="1"/>
    </xf>
    <xf numFmtId="41" fontId="39" fillId="0" borderId="0" xfId="0" applyNumberFormat="1" applyFont="1" applyAlignment="1">
      <alignment horizontal="centerContinuous" wrapText="1"/>
    </xf>
    <xf numFmtId="169" fontId="39" fillId="0" borderId="0" xfId="0" applyNumberFormat="1" applyFont="1" applyAlignment="1">
      <alignment horizontal="centerContinuous" wrapText="1"/>
    </xf>
    <xf numFmtId="38" fontId="25" fillId="0" borderId="0" xfId="0" applyNumberFormat="1" applyFont="1" applyAlignment="1">
      <alignment horizontal="right"/>
    </xf>
    <xf numFmtId="0" fontId="30" fillId="35" borderId="0" xfId="0" applyFont="1" applyFill="1" applyBorder="1" applyAlignment="1" applyProtection="1">
      <alignment/>
      <protection locked="0"/>
    </xf>
    <xf numFmtId="38" fontId="30" fillId="0" borderId="0" xfId="0" applyNumberFormat="1" applyFont="1" applyBorder="1" applyAlignment="1">
      <alignment/>
    </xf>
    <xf numFmtId="164" fontId="30" fillId="0" borderId="0" xfId="42" applyNumberFormat="1" applyFont="1" applyBorder="1" applyAlignment="1">
      <alignment horizontal="right"/>
    </xf>
    <xf numFmtId="44" fontId="7" fillId="0" borderId="15" xfId="44" applyFont="1" applyBorder="1" applyAlignment="1">
      <alignment horizontal="right" wrapText="1"/>
    </xf>
    <xf numFmtId="44" fontId="20" fillId="0" borderId="15" xfId="44" applyFont="1" applyFill="1" applyBorder="1" applyAlignment="1">
      <alignment horizontal="right"/>
    </xf>
    <xf numFmtId="164" fontId="43" fillId="0" borderId="0" xfId="42" applyNumberFormat="1" applyFont="1" applyFill="1" applyAlignment="1">
      <alignment horizontal="centerContinuous"/>
    </xf>
    <xf numFmtId="164" fontId="4" fillId="0" borderId="0" xfId="42" applyNumberFormat="1" applyFont="1" applyAlignment="1">
      <alignment horizontal="centerContinuous"/>
    </xf>
    <xf numFmtId="164" fontId="9" fillId="0" borderId="0" xfId="42" applyNumberFormat="1" applyFont="1" applyFill="1" applyAlignment="1">
      <alignment horizontal="centerContinuous"/>
    </xf>
    <xf numFmtId="164" fontId="14" fillId="33" borderId="0" xfId="42" applyNumberFormat="1" applyFont="1" applyFill="1" applyAlignment="1">
      <alignment horizontal="centerContinuous" wrapText="1"/>
    </xf>
    <xf numFmtId="164" fontId="13" fillId="0" borderId="0" xfId="42" applyNumberFormat="1" applyFont="1" applyFill="1" applyAlignment="1">
      <alignment/>
    </xf>
    <xf numFmtId="164" fontId="30" fillId="0" borderId="0" xfId="42" applyNumberFormat="1" applyFont="1" applyFill="1" applyAlignment="1">
      <alignment horizontal="right"/>
    </xf>
    <xf numFmtId="164" fontId="5" fillId="0" borderId="0" xfId="42" applyNumberFormat="1" applyFont="1" applyAlignment="1">
      <alignment horizontal="left" indent="1"/>
    </xf>
    <xf numFmtId="164" fontId="13" fillId="0" borderId="0" xfId="42" applyNumberFormat="1" applyFont="1" applyFill="1" applyAlignment="1">
      <alignment horizontal="left" indent="1"/>
    </xf>
    <xf numFmtId="164" fontId="13" fillId="0" borderId="0" xfId="42" applyNumberFormat="1" applyFont="1" applyAlignment="1">
      <alignment horizontal="left" indent="1"/>
    </xf>
    <xf numFmtId="164" fontId="13" fillId="0" borderId="0" xfId="42" applyNumberFormat="1" applyFont="1" applyFill="1" applyBorder="1" applyAlignment="1">
      <alignment horizontal="left" indent="1"/>
    </xf>
    <xf numFmtId="164" fontId="9" fillId="0" borderId="0" xfId="42" applyNumberFormat="1" applyFont="1" applyBorder="1" applyAlignment="1">
      <alignment horizontal="left" indent="1"/>
    </xf>
    <xf numFmtId="164" fontId="31" fillId="0" borderId="0" xfId="42" applyNumberFormat="1" applyFont="1" applyBorder="1" applyAlignment="1">
      <alignment horizontal="left" indent="1"/>
    </xf>
    <xf numFmtId="164" fontId="13" fillId="0" borderId="0" xfId="42" applyNumberFormat="1" applyFont="1" applyBorder="1" applyAlignment="1">
      <alignment horizontal="left" vertical="center" indent="1"/>
    </xf>
    <xf numFmtId="164" fontId="13" fillId="0" borderId="0" xfId="42" applyNumberFormat="1" applyFont="1" applyBorder="1" applyAlignment="1">
      <alignment horizontal="left" indent="1"/>
    </xf>
    <xf numFmtId="164" fontId="30" fillId="0" borderId="0" xfId="42" applyNumberFormat="1" applyFont="1" applyBorder="1" applyAlignment="1">
      <alignment horizontal="left" indent="1"/>
    </xf>
    <xf numFmtId="164" fontId="14" fillId="33" borderId="0" xfId="42" applyNumberFormat="1" applyFont="1" applyFill="1" applyAlignment="1">
      <alignment horizontal="center" wrapText="1"/>
    </xf>
    <xf numFmtId="164" fontId="14" fillId="36" borderId="0" xfId="42" applyNumberFormat="1" applyFont="1" applyFill="1" applyBorder="1" applyAlignment="1" applyProtection="1">
      <alignment horizontal="center" wrapText="1"/>
      <protection locked="0"/>
    </xf>
    <xf numFmtId="164" fontId="46" fillId="35" borderId="0" xfId="42" applyNumberFormat="1" applyFont="1" applyFill="1" applyBorder="1" applyAlignment="1" applyProtection="1">
      <alignment horizontal="centerContinuous"/>
      <protection locked="0"/>
    </xf>
    <xf numFmtId="164" fontId="47" fillId="0" borderId="0" xfId="42" applyNumberFormat="1" applyFont="1" applyAlignment="1">
      <alignment horizontal="centerContinuous"/>
    </xf>
    <xf numFmtId="164" fontId="3" fillId="0" borderId="0" xfId="42" applyNumberFormat="1" applyFont="1" applyFill="1" applyAlignment="1">
      <alignment horizontal="centerContinuous"/>
    </xf>
    <xf numFmtId="164" fontId="3"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wrapText="1"/>
      <protection locked="0"/>
    </xf>
    <xf numFmtId="164" fontId="13" fillId="35" borderId="0" xfId="42" applyNumberFormat="1" applyFont="1" applyFill="1" applyBorder="1" applyAlignment="1" applyProtection="1">
      <alignment/>
      <protection locked="0"/>
    </xf>
    <xf numFmtId="164" fontId="13" fillId="0" borderId="0" xfId="42" applyNumberFormat="1" applyFont="1" applyAlignment="1">
      <alignment horizontal="right"/>
    </xf>
    <xf numFmtId="164" fontId="13" fillId="0" borderId="14" xfId="42" applyNumberFormat="1" applyFont="1" applyBorder="1" applyAlignment="1">
      <alignment horizontal="right"/>
    </xf>
    <xf numFmtId="164" fontId="9" fillId="35" borderId="0" xfId="42" applyNumberFormat="1" applyFont="1" applyFill="1" applyBorder="1" applyAlignment="1" applyProtection="1">
      <alignment horizontal="center"/>
      <protection locked="0"/>
    </xf>
    <xf numFmtId="164" fontId="9" fillId="0" borderId="0" xfId="42" applyNumberFormat="1" applyFont="1" applyBorder="1" applyAlignment="1">
      <alignment horizontal="right"/>
    </xf>
    <xf numFmtId="164" fontId="43" fillId="0" borderId="0" xfId="42" applyNumberFormat="1" applyFont="1" applyBorder="1" applyAlignment="1">
      <alignment horizontal="centerContinuous"/>
    </xf>
    <xf numFmtId="164" fontId="45" fillId="0" borderId="0" xfId="42" applyNumberFormat="1" applyFont="1" applyBorder="1" applyAlignment="1">
      <alignment horizontal="centerContinuous"/>
    </xf>
    <xf numFmtId="164" fontId="13" fillId="0" borderId="0" xfId="42" applyNumberFormat="1" applyFont="1" applyBorder="1" applyAlignment="1">
      <alignment horizontal="centerContinuous"/>
    </xf>
    <xf numFmtId="37" fontId="5" fillId="0" borderId="26" xfId="0" applyNumberFormat="1" applyFont="1" applyBorder="1" applyAlignment="1">
      <alignment/>
    </xf>
    <xf numFmtId="37" fontId="6" fillId="0" borderId="16" xfId="0" applyNumberFormat="1" applyFont="1" applyBorder="1" applyAlignment="1">
      <alignment/>
    </xf>
    <xf numFmtId="43" fontId="13" fillId="0" borderId="0" xfId="0" applyNumberFormat="1" applyFont="1" applyBorder="1" applyAlignment="1">
      <alignment/>
    </xf>
    <xf numFmtId="164" fontId="4" fillId="0" borderId="0" xfId="42" applyNumberFormat="1" applyFont="1" applyBorder="1" applyAlignment="1">
      <alignment/>
    </xf>
    <xf numFmtId="164" fontId="13" fillId="0" borderId="0" xfId="42" applyNumberFormat="1" applyFont="1" applyBorder="1" applyAlignment="1">
      <alignment horizontal="left"/>
    </xf>
    <xf numFmtId="5" fontId="9" fillId="0" borderId="15" xfId="42" applyNumberFormat="1" applyFont="1" applyBorder="1" applyAlignment="1">
      <alignment horizontal="right"/>
    </xf>
    <xf numFmtId="164" fontId="25" fillId="0" borderId="0" xfId="42" applyNumberFormat="1" applyFont="1" applyAlignment="1">
      <alignment/>
    </xf>
    <xf numFmtId="164" fontId="4" fillId="0" borderId="0" xfId="42" applyNumberFormat="1" applyFont="1" applyFill="1" applyBorder="1" applyAlignment="1">
      <alignment/>
    </xf>
    <xf numFmtId="164" fontId="4" fillId="0" borderId="0" xfId="42" applyNumberFormat="1" applyFont="1" applyFill="1" applyBorder="1" applyAlignment="1">
      <alignment horizontal="right"/>
    </xf>
    <xf numFmtId="164" fontId="28" fillId="0" borderId="0" xfId="42" applyNumberFormat="1" applyFont="1" applyBorder="1" applyAlignment="1">
      <alignment/>
    </xf>
    <xf numFmtId="164" fontId="15" fillId="0" borderId="0" xfId="42" applyNumberFormat="1" applyFont="1" applyBorder="1" applyAlignment="1">
      <alignment horizontal="right" vertical="center"/>
    </xf>
    <xf numFmtId="164" fontId="31" fillId="0" borderId="0" xfId="42" applyNumberFormat="1" applyFont="1" applyBorder="1" applyAlignment="1">
      <alignment horizontal="right"/>
    </xf>
    <xf numFmtId="164" fontId="13" fillId="0" borderId="0" xfId="42" applyNumberFormat="1" applyFont="1" applyBorder="1" applyAlignment="1">
      <alignment horizontal="right" vertical="center"/>
    </xf>
    <xf numFmtId="5" fontId="13" fillId="0" borderId="15" xfId="42" applyNumberFormat="1" applyFont="1" applyBorder="1" applyAlignment="1">
      <alignment horizontal="right"/>
    </xf>
    <xf numFmtId="43" fontId="9" fillId="0" borderId="15" xfId="42" applyFont="1" applyBorder="1" applyAlignment="1">
      <alignment horizontal="right"/>
    </xf>
    <xf numFmtId="38" fontId="4" fillId="0" borderId="18" xfId="0" applyNumberFormat="1" applyFont="1" applyBorder="1" applyAlignment="1">
      <alignment/>
    </xf>
    <xf numFmtId="40" fontId="4" fillId="0" borderId="0" xfId="0" applyNumberFormat="1" applyFont="1" applyFill="1" applyBorder="1" applyAlignment="1">
      <alignment/>
    </xf>
    <xf numFmtId="170" fontId="4" fillId="0" borderId="0" xfId="0" applyNumberFormat="1" applyFont="1" applyFill="1" applyBorder="1" applyAlignment="1">
      <alignment/>
    </xf>
    <xf numFmtId="38" fontId="50" fillId="0" borderId="0" xfId="0" applyNumberFormat="1" applyFont="1" applyFill="1" applyBorder="1" applyAlignment="1">
      <alignment/>
    </xf>
    <xf numFmtId="5" fontId="13" fillId="0" borderId="0" xfId="42" applyNumberFormat="1" applyFont="1" applyBorder="1" applyAlignment="1">
      <alignment horizontal="right"/>
    </xf>
    <xf numFmtId="43" fontId="0" fillId="0" borderId="0" xfId="42" applyFont="1" applyAlignment="1">
      <alignment/>
    </xf>
    <xf numFmtId="0" fontId="7" fillId="0" borderId="27" xfId="0" applyFont="1" applyBorder="1" applyAlignment="1">
      <alignment horizontal="center"/>
    </xf>
    <xf numFmtId="9" fontId="9" fillId="0" borderId="0" xfId="58" applyFont="1" applyAlignment="1">
      <alignment/>
    </xf>
    <xf numFmtId="10" fontId="9" fillId="0" borderId="0" xfId="58" applyNumberFormat="1" applyFont="1" applyAlignment="1">
      <alignment/>
    </xf>
    <xf numFmtId="164" fontId="0" fillId="0" borderId="0" xfId="42" applyNumberFormat="1" applyFont="1" applyAlignment="1">
      <alignment/>
    </xf>
    <xf numFmtId="43" fontId="47" fillId="0" borderId="0" xfId="0" applyNumberFormat="1" applyFont="1" applyBorder="1" applyAlignment="1">
      <alignment/>
    </xf>
    <xf numFmtId="43" fontId="19" fillId="0" borderId="0" xfId="0" applyNumberFormat="1" applyFont="1" applyBorder="1" applyAlignment="1">
      <alignment/>
    </xf>
    <xf numFmtId="40" fontId="6" fillId="0" borderId="28" xfId="0" applyNumberFormat="1" applyFont="1" applyBorder="1" applyAlignment="1">
      <alignment/>
    </xf>
    <xf numFmtId="40" fontId="5" fillId="0" borderId="13" xfId="0" applyNumberFormat="1" applyFont="1" applyBorder="1" applyAlignment="1">
      <alignment/>
    </xf>
    <xf numFmtId="0" fontId="6" fillId="0" borderId="0" xfId="42" applyNumberFormat="1" applyFont="1" applyBorder="1" applyAlignment="1">
      <alignment horizontal="right"/>
    </xf>
    <xf numFmtId="38" fontId="6" fillId="0" borderId="0" xfId="0" applyNumberFormat="1" applyFont="1" applyBorder="1" applyAlignment="1" quotePrefix="1">
      <alignment horizontal="center"/>
    </xf>
    <xf numFmtId="7" fontId="13" fillId="0" borderId="0" xfId="0" applyNumberFormat="1" applyFont="1" applyBorder="1" applyAlignment="1">
      <alignment/>
    </xf>
    <xf numFmtId="164" fontId="3" fillId="0" borderId="0" xfId="42" applyNumberFormat="1" applyFont="1" applyAlignment="1">
      <alignment/>
    </xf>
    <xf numFmtId="7" fontId="13" fillId="0" borderId="0" xfId="0" applyNumberFormat="1" applyFont="1" applyFill="1" applyAlignment="1">
      <alignment/>
    </xf>
    <xf numFmtId="7" fontId="13" fillId="0" borderId="0" xfId="42" applyNumberFormat="1" applyFont="1" applyFill="1" applyAlignment="1">
      <alignment/>
    </xf>
    <xf numFmtId="7" fontId="14" fillId="33" borderId="0" xfId="42" applyNumberFormat="1" applyFont="1" applyFill="1" applyAlignment="1">
      <alignment horizontal="centerContinuous" wrapText="1"/>
    </xf>
    <xf numFmtId="7" fontId="13" fillId="0" borderId="0" xfId="0" applyNumberFormat="1" applyFont="1" applyAlignment="1">
      <alignment/>
    </xf>
    <xf numFmtId="7" fontId="13" fillId="0" borderId="0" xfId="42" applyNumberFormat="1" applyFont="1" applyFill="1" applyAlignment="1">
      <alignment horizontal="right"/>
    </xf>
    <xf numFmtId="7" fontId="9" fillId="0" borderId="0" xfId="42" applyNumberFormat="1" applyFont="1" applyFill="1" applyAlignment="1">
      <alignment horizontal="right"/>
    </xf>
    <xf numFmtId="7" fontId="4" fillId="0" borderId="0" xfId="42" applyNumberFormat="1" applyFont="1" applyAlignment="1">
      <alignment horizontal="right"/>
    </xf>
    <xf numFmtId="7" fontId="6" fillId="0" borderId="0" xfId="0" applyNumberFormat="1" applyFont="1" applyBorder="1" applyAlignment="1">
      <alignment horizontal="centerContinuous"/>
    </xf>
    <xf numFmtId="7" fontId="4" fillId="0" borderId="0" xfId="42" applyNumberFormat="1" applyFont="1" applyBorder="1" applyAlignment="1">
      <alignment horizontal="centerContinuous"/>
    </xf>
    <xf numFmtId="7" fontId="13" fillId="0" borderId="0" xfId="42" applyNumberFormat="1" applyFont="1" applyBorder="1" applyAlignment="1">
      <alignment/>
    </xf>
    <xf numFmtId="43" fontId="3" fillId="0" borderId="0" xfId="0" applyNumberFormat="1" applyFont="1" applyFill="1" applyBorder="1" applyAlignment="1">
      <alignment horizontal="centerContinuous"/>
    </xf>
    <xf numFmtId="43" fontId="20" fillId="33" borderId="0" xfId="42" applyNumberFormat="1" applyFont="1" applyFill="1" applyBorder="1" applyAlignment="1">
      <alignment horizontal="center" wrapText="1"/>
    </xf>
    <xf numFmtId="43" fontId="4" fillId="0" borderId="0" xfId="0" applyNumberFormat="1" applyFont="1" applyFill="1" applyAlignment="1">
      <alignment/>
    </xf>
    <xf numFmtId="40" fontId="3" fillId="0" borderId="0" xfId="0" applyNumberFormat="1" applyFont="1" applyFill="1" applyBorder="1" applyAlignment="1">
      <alignment horizontal="centerContinuous"/>
    </xf>
    <xf numFmtId="40" fontId="19" fillId="0" borderId="0" xfId="42" applyNumberFormat="1" applyFont="1" applyBorder="1" applyAlignment="1">
      <alignment horizontal="centerContinuous"/>
    </xf>
    <xf numFmtId="40" fontId="4" fillId="0" borderId="0" xfId="42" applyNumberFormat="1" applyFont="1" applyBorder="1" applyAlignment="1">
      <alignment horizontal="centerContinuous"/>
    </xf>
    <xf numFmtId="40" fontId="19" fillId="0" borderId="0" xfId="42" applyNumberFormat="1" applyFont="1" applyFill="1" applyBorder="1" applyAlignment="1">
      <alignment horizontal="centerContinuous"/>
    </xf>
    <xf numFmtId="40" fontId="4" fillId="0" borderId="0" xfId="0" applyNumberFormat="1" applyFont="1" applyBorder="1" applyAlignment="1">
      <alignment horizontal="centerContinuous"/>
    </xf>
    <xf numFmtId="40" fontId="6" fillId="0" borderId="0" xfId="42" applyNumberFormat="1" applyFont="1" applyFill="1" applyBorder="1" applyAlignment="1">
      <alignment horizontal="centerContinuous"/>
    </xf>
    <xf numFmtId="40" fontId="4" fillId="0" borderId="0" xfId="42" applyNumberFormat="1" applyFont="1" applyFill="1" applyBorder="1" applyAlignment="1">
      <alignment horizontal="centerContinuous"/>
    </xf>
    <xf numFmtId="40" fontId="7" fillId="0" borderId="0" xfId="0" applyNumberFormat="1" applyFont="1" applyFill="1" applyBorder="1" applyAlignment="1">
      <alignment horizontal="left" wrapText="1"/>
    </xf>
    <xf numFmtId="40" fontId="20" fillId="33" borderId="0" xfId="42" applyNumberFormat="1" applyFont="1" applyFill="1" applyBorder="1" applyAlignment="1">
      <alignment horizontal="center" wrapText="1"/>
    </xf>
    <xf numFmtId="40" fontId="8" fillId="0" borderId="0" xfId="0" applyNumberFormat="1" applyFont="1" applyFill="1" applyBorder="1" applyAlignment="1">
      <alignment horizontal="left" wrapText="1"/>
    </xf>
    <xf numFmtId="40" fontId="21" fillId="34" borderId="0" xfId="42" applyNumberFormat="1" applyFont="1" applyFill="1" applyBorder="1" applyAlignment="1">
      <alignment vertical="center" wrapText="1"/>
    </xf>
    <xf numFmtId="40" fontId="21" fillId="34" borderId="0" xfId="42" applyNumberFormat="1" applyFont="1" applyFill="1" applyBorder="1" applyAlignment="1">
      <alignment wrapText="1"/>
    </xf>
    <xf numFmtId="40" fontId="4" fillId="0" borderId="0" xfId="0" applyNumberFormat="1" applyFont="1" applyFill="1" applyBorder="1" applyAlignment="1">
      <alignment/>
    </xf>
    <xf numFmtId="40" fontId="4" fillId="0" borderId="0" xfId="42" applyNumberFormat="1" applyFont="1" applyFill="1" applyBorder="1" applyAlignment="1">
      <alignment horizontal="right"/>
    </xf>
    <xf numFmtId="40" fontId="4" fillId="0" borderId="0" xfId="0" applyNumberFormat="1" applyFont="1" applyFill="1" applyBorder="1" applyAlignment="1">
      <alignment horizontal="left"/>
    </xf>
    <xf numFmtId="40" fontId="7" fillId="0" borderId="0" xfId="0" applyNumberFormat="1" applyFont="1" applyFill="1" applyBorder="1" applyAlignment="1">
      <alignment/>
    </xf>
    <xf numFmtId="40" fontId="7" fillId="0" borderId="0" xfId="0" applyNumberFormat="1" applyFont="1" applyFill="1" applyAlignment="1">
      <alignment/>
    </xf>
    <xf numFmtId="40" fontId="4" fillId="0" borderId="0" xfId="0" applyNumberFormat="1" applyFont="1" applyFill="1" applyAlignment="1">
      <alignment/>
    </xf>
    <xf numFmtId="40" fontId="8" fillId="0" borderId="0" xfId="0" applyNumberFormat="1" applyFont="1" applyFill="1" applyBorder="1" applyAlignment="1">
      <alignment/>
    </xf>
    <xf numFmtId="40" fontId="4" fillId="0" borderId="0" xfId="0" applyNumberFormat="1" applyFont="1" applyFill="1" applyBorder="1" applyAlignment="1">
      <alignment horizontal="left" wrapText="1"/>
    </xf>
    <xf numFmtId="40" fontId="4" fillId="0" borderId="0" xfId="42" applyNumberFormat="1" applyFont="1" applyFill="1" applyBorder="1" applyAlignment="1">
      <alignment/>
    </xf>
    <xf numFmtId="43" fontId="3" fillId="0" borderId="29" xfId="0" applyNumberFormat="1" applyFont="1" applyBorder="1" applyAlignment="1">
      <alignment horizontal="centerContinuous"/>
    </xf>
    <xf numFmtId="43" fontId="13" fillId="0" borderId="29" xfId="0" applyNumberFormat="1" applyFont="1" applyBorder="1" applyAlignment="1" quotePrefix="1">
      <alignment wrapText="1"/>
    </xf>
    <xf numFmtId="43" fontId="13" fillId="0" borderId="29" xfId="0" applyNumberFormat="1" applyFont="1" applyBorder="1" applyAlignment="1">
      <alignment horizontal="center" wrapText="1"/>
    </xf>
    <xf numFmtId="43" fontId="13" fillId="0" borderId="30" xfId="0" applyNumberFormat="1" applyFont="1" applyBorder="1" applyAlignment="1">
      <alignment horizontal="center" wrapText="1"/>
    </xf>
    <xf numFmtId="43" fontId="9" fillId="0" borderId="29" xfId="0" applyNumberFormat="1" applyFont="1" applyBorder="1" applyAlignment="1">
      <alignment horizontal="center" wrapText="1"/>
    </xf>
    <xf numFmtId="43" fontId="13" fillId="0" borderId="29" xfId="0" applyNumberFormat="1" applyFont="1" applyBorder="1" applyAlignment="1">
      <alignment horizontal="left" wrapText="1"/>
    </xf>
    <xf numFmtId="43" fontId="9" fillId="0" borderId="29" xfId="0" applyNumberFormat="1" applyFont="1" applyBorder="1" applyAlignment="1">
      <alignment horizontal="left" wrapText="1"/>
    </xf>
    <xf numFmtId="43" fontId="9" fillId="0" borderId="31" xfId="0" applyNumberFormat="1" applyFont="1" applyBorder="1" applyAlignment="1">
      <alignment horizontal="left" wrapText="1"/>
    </xf>
    <xf numFmtId="43" fontId="30" fillId="0" borderId="0" xfId="0" applyNumberFormat="1" applyFont="1" applyBorder="1" applyAlignment="1">
      <alignment horizontal="left" wrapText="1"/>
    </xf>
    <xf numFmtId="7" fontId="13" fillId="0" borderId="0" xfId="42" applyNumberFormat="1" applyFont="1" applyBorder="1" applyAlignment="1">
      <alignment horizontal="centerContinuous"/>
    </xf>
    <xf numFmtId="7" fontId="13" fillId="0" borderId="29" xfId="0" applyNumberFormat="1" applyFont="1" applyBorder="1" applyAlignment="1" quotePrefix="1">
      <alignment wrapText="1"/>
    </xf>
    <xf numFmtId="7" fontId="13" fillId="0" borderId="29" xfId="0" applyNumberFormat="1" applyFont="1" applyBorder="1" applyAlignment="1">
      <alignment horizontal="center" wrapText="1"/>
    </xf>
    <xf numFmtId="7" fontId="13" fillId="0" borderId="32" xfId="0" applyNumberFormat="1" applyFont="1" applyBorder="1" applyAlignment="1">
      <alignment horizontal="center" wrapText="1"/>
    </xf>
    <xf numFmtId="7" fontId="9" fillId="0" borderId="33" xfId="0" applyNumberFormat="1" applyFont="1" applyBorder="1" applyAlignment="1">
      <alignment horizontal="center" wrapText="1"/>
    </xf>
    <xf numFmtId="7" fontId="13" fillId="0" borderId="33" xfId="0" applyNumberFormat="1" applyFont="1" applyBorder="1" applyAlignment="1">
      <alignment horizontal="left" wrapText="1"/>
    </xf>
    <xf numFmtId="7" fontId="9" fillId="0" borderId="33" xfId="0" applyNumberFormat="1" applyFont="1" applyBorder="1" applyAlignment="1">
      <alignment horizontal="left" wrapText="1"/>
    </xf>
    <xf numFmtId="7" fontId="9" fillId="0" borderId="34" xfId="0" applyNumberFormat="1" applyFont="1" applyBorder="1" applyAlignment="1">
      <alignment horizontal="left" wrapText="1"/>
    </xf>
    <xf numFmtId="7" fontId="43" fillId="0" borderId="0" xfId="0" applyNumberFormat="1" applyFont="1" applyFill="1" applyAlignment="1">
      <alignment horizontal="centerContinuous"/>
    </xf>
    <xf numFmtId="7" fontId="43" fillId="0" borderId="0" xfId="42" applyNumberFormat="1" applyFont="1" applyFill="1" applyAlignment="1">
      <alignment horizontal="centerContinuous"/>
    </xf>
    <xf numFmtId="7" fontId="45" fillId="0" borderId="0" xfId="42" applyNumberFormat="1" applyFont="1" applyAlignment="1">
      <alignment horizontal="centerContinuous"/>
    </xf>
    <xf numFmtId="7" fontId="3" fillId="0" borderId="0" xfId="0" applyNumberFormat="1" applyFont="1" applyFill="1" applyAlignment="1">
      <alignment horizontal="centerContinuous"/>
    </xf>
    <xf numFmtId="7" fontId="4" fillId="0" borderId="0" xfId="42" applyNumberFormat="1" applyFont="1" applyAlignment="1">
      <alignment horizontal="centerContinuous"/>
    </xf>
    <xf numFmtId="7" fontId="13" fillId="0" borderId="0" xfId="42" applyNumberFormat="1" applyFont="1" applyAlignment="1">
      <alignment horizontal="centerContinuous"/>
    </xf>
    <xf numFmtId="7" fontId="9" fillId="0" borderId="0" xfId="42" applyNumberFormat="1" applyFont="1" applyFill="1" applyAlignment="1">
      <alignment horizontal="centerContinuous"/>
    </xf>
    <xf numFmtId="7" fontId="5" fillId="0" borderId="0" xfId="0" applyNumberFormat="1" applyFont="1" applyFill="1" applyAlignment="1">
      <alignment horizontal="centerContinuous"/>
    </xf>
    <xf numFmtId="7" fontId="5" fillId="0" borderId="0" xfId="42" applyNumberFormat="1" applyFont="1" applyFill="1" applyAlignment="1">
      <alignment horizontal="centerContinuous"/>
    </xf>
    <xf numFmtId="7" fontId="9" fillId="0" borderId="0" xfId="0" applyNumberFormat="1" applyFont="1" applyFill="1" applyAlignment="1">
      <alignment horizontal="left" wrapText="1"/>
    </xf>
    <xf numFmtId="7" fontId="9" fillId="0" borderId="0" xfId="0" applyNumberFormat="1" applyFont="1" applyFill="1" applyAlignment="1">
      <alignment horizontal="center" wrapText="1"/>
    </xf>
    <xf numFmtId="7" fontId="9" fillId="0" borderId="0" xfId="0" applyNumberFormat="1" applyFont="1" applyFill="1" applyAlignment="1">
      <alignment horizontal="center"/>
    </xf>
    <xf numFmtId="7" fontId="30" fillId="0" borderId="0" xfId="0" applyNumberFormat="1" applyFont="1" applyFill="1" applyAlignment="1">
      <alignment/>
    </xf>
    <xf numFmtId="7" fontId="13" fillId="0" borderId="0" xfId="0" applyNumberFormat="1" applyFont="1" applyFill="1" applyBorder="1" applyAlignment="1">
      <alignment horizontal="left"/>
    </xf>
    <xf numFmtId="171" fontId="43" fillId="0" borderId="0" xfId="0" applyNumberFormat="1" applyFont="1" applyFill="1" applyAlignment="1">
      <alignment horizontal="centerContinuous"/>
    </xf>
    <xf numFmtId="171" fontId="45" fillId="0" borderId="0" xfId="0" applyNumberFormat="1" applyFont="1" applyAlignment="1">
      <alignment horizontal="centerContinuous"/>
    </xf>
    <xf numFmtId="171" fontId="3" fillId="0" borderId="0" xfId="0" applyNumberFormat="1" applyFont="1" applyFill="1" applyAlignment="1">
      <alignment horizontal="centerContinuous"/>
    </xf>
    <xf numFmtId="171" fontId="4" fillId="0" borderId="0" xfId="0" applyNumberFormat="1" applyFont="1" applyAlignment="1">
      <alignment horizontal="centerContinuous"/>
    </xf>
    <xf numFmtId="171" fontId="13" fillId="0" borderId="0" xfId="0" applyNumberFormat="1" applyFont="1" applyAlignment="1">
      <alignment horizontal="centerContinuous"/>
    </xf>
    <xf numFmtId="171" fontId="9" fillId="0" borderId="0" xfId="0" applyNumberFormat="1" applyFont="1" applyFill="1" applyAlignment="1">
      <alignment horizontal="centerContinuous"/>
    </xf>
    <xf numFmtId="171" fontId="5" fillId="0" borderId="0" xfId="0" applyNumberFormat="1" applyFont="1" applyFill="1" applyAlignment="1">
      <alignment horizontal="centerContinuous"/>
    </xf>
    <xf numFmtId="171" fontId="9" fillId="0" borderId="0" xfId="0" applyNumberFormat="1" applyFont="1" applyFill="1" applyAlignment="1">
      <alignment horizontal="left" wrapText="1"/>
    </xf>
    <xf numFmtId="171" fontId="14" fillId="33" borderId="0" xfId="0" applyNumberFormat="1" applyFont="1" applyFill="1" applyAlignment="1">
      <alignment horizontal="centerContinuous" wrapText="1"/>
    </xf>
    <xf numFmtId="171" fontId="14" fillId="33" borderId="0" xfId="0" applyNumberFormat="1" applyFont="1" applyFill="1" applyAlignment="1">
      <alignment horizontal="center" wrapText="1"/>
    </xf>
    <xf numFmtId="171" fontId="9" fillId="0" borderId="0" xfId="0" applyNumberFormat="1" applyFont="1" applyFill="1" applyAlignment="1">
      <alignment horizontal="center" wrapText="1"/>
    </xf>
    <xf numFmtId="171" fontId="13" fillId="0" borderId="0" xfId="0" applyNumberFormat="1" applyFont="1" applyFill="1" applyAlignment="1">
      <alignment/>
    </xf>
    <xf numFmtId="171" fontId="9" fillId="0" borderId="0" xfId="0" applyNumberFormat="1" applyFont="1" applyFill="1" applyAlignment="1">
      <alignment horizontal="center"/>
    </xf>
    <xf numFmtId="171" fontId="13" fillId="0" borderId="0" xfId="0" applyNumberFormat="1" applyFont="1" applyFill="1" applyBorder="1" applyAlignment="1">
      <alignment horizontal="left"/>
    </xf>
    <xf numFmtId="7" fontId="3" fillId="0" borderId="0" xfId="42" applyNumberFormat="1" applyFont="1" applyFill="1" applyAlignment="1">
      <alignment horizontal="centerContinuous"/>
    </xf>
    <xf numFmtId="7" fontId="5" fillId="0" borderId="0" xfId="42" applyNumberFormat="1" applyFont="1" applyAlignment="1">
      <alignment/>
    </xf>
    <xf numFmtId="7" fontId="9" fillId="35" borderId="0" xfId="0" applyNumberFormat="1" applyFont="1" applyFill="1" applyBorder="1" applyAlignment="1" applyProtection="1">
      <alignment horizontal="center"/>
      <protection locked="0"/>
    </xf>
    <xf numFmtId="7" fontId="4" fillId="0" borderId="0" xfId="0" applyNumberFormat="1" applyFont="1" applyAlignment="1">
      <alignment horizontal="right"/>
    </xf>
    <xf numFmtId="7" fontId="12" fillId="35" borderId="0" xfId="42" applyNumberFormat="1" applyFont="1" applyFill="1" applyBorder="1" applyAlignment="1" applyProtection="1">
      <alignment horizontal="right"/>
      <protection locked="0"/>
    </xf>
    <xf numFmtId="7" fontId="9" fillId="35" borderId="0" xfId="0" applyNumberFormat="1" applyFont="1" applyFill="1" applyBorder="1" applyAlignment="1" applyProtection="1">
      <alignment horizontal="right"/>
      <protection locked="0"/>
    </xf>
    <xf numFmtId="7" fontId="5" fillId="0" borderId="0" xfId="42" applyNumberFormat="1" applyFont="1" applyAlignment="1">
      <alignment horizontal="right"/>
    </xf>
    <xf numFmtId="7" fontId="13" fillId="35" borderId="0" xfId="42" applyNumberFormat="1" applyFont="1" applyFill="1" applyBorder="1" applyAlignment="1" applyProtection="1">
      <alignment horizontal="right"/>
      <protection locked="0"/>
    </xf>
    <xf numFmtId="7" fontId="13" fillId="35" borderId="0" xfId="0" applyNumberFormat="1" applyFont="1" applyFill="1" applyBorder="1" applyAlignment="1" applyProtection="1">
      <alignment horizontal="right"/>
      <protection locked="0"/>
    </xf>
    <xf numFmtId="7" fontId="43" fillId="0" borderId="0" xfId="0" applyNumberFormat="1" applyFont="1" applyBorder="1" applyAlignment="1">
      <alignment horizontal="centerContinuous"/>
    </xf>
    <xf numFmtId="7" fontId="43" fillId="0" borderId="0" xfId="42" applyNumberFormat="1" applyFont="1" applyBorder="1" applyAlignment="1">
      <alignment horizontal="centerContinuous"/>
    </xf>
    <xf numFmtId="7" fontId="45" fillId="0" borderId="0" xfId="42" applyNumberFormat="1" applyFont="1" applyBorder="1" applyAlignment="1">
      <alignment horizontal="centerContinuous"/>
    </xf>
    <xf numFmtId="7" fontId="9" fillId="0" borderId="0" xfId="0" applyNumberFormat="1" applyFont="1" applyBorder="1" applyAlignment="1">
      <alignment horizontal="centerContinuous"/>
    </xf>
    <xf numFmtId="7" fontId="9" fillId="0" borderId="0" xfId="42" applyNumberFormat="1" applyFont="1" applyBorder="1" applyAlignment="1">
      <alignment horizontal="centerContinuous"/>
    </xf>
    <xf numFmtId="7" fontId="13" fillId="0" borderId="0" xfId="0" applyNumberFormat="1" applyFont="1" applyBorder="1" applyAlignment="1">
      <alignment horizontal="centerContinuous"/>
    </xf>
    <xf numFmtId="7" fontId="13" fillId="0" borderId="0" xfId="0" applyNumberFormat="1" applyFont="1" applyBorder="1" applyAlignment="1">
      <alignment horizontal="left" wrapText="1"/>
    </xf>
    <xf numFmtId="7" fontId="14" fillId="33" borderId="0" xfId="42" applyNumberFormat="1" applyFont="1" applyFill="1" applyBorder="1" applyAlignment="1">
      <alignment horizontal="centerContinuous" wrapText="1"/>
    </xf>
    <xf numFmtId="7" fontId="14" fillId="33" borderId="0" xfId="42" applyNumberFormat="1" applyFont="1" applyFill="1" applyBorder="1" applyAlignment="1">
      <alignment horizontal="left" wrapText="1"/>
    </xf>
    <xf numFmtId="7" fontId="9" fillId="0" borderId="0" xfId="0" applyNumberFormat="1" applyFont="1" applyBorder="1" applyAlignment="1">
      <alignment horizontal="center" wrapText="1"/>
    </xf>
    <xf numFmtId="7" fontId="13" fillId="0" borderId="0" xfId="42" applyNumberFormat="1" applyFont="1" applyBorder="1" applyAlignment="1">
      <alignment horizontal="left" wrapText="1"/>
    </xf>
    <xf numFmtId="7" fontId="9" fillId="0" borderId="0" xfId="0" applyNumberFormat="1" applyFont="1" applyAlignment="1">
      <alignment/>
    </xf>
    <xf numFmtId="7" fontId="15" fillId="0" borderId="0" xfId="0" applyNumberFormat="1" applyFont="1" applyBorder="1" applyAlignment="1">
      <alignment horizontal="center" wrapText="1"/>
    </xf>
    <xf numFmtId="5" fontId="13" fillId="0" borderId="0" xfId="42" applyNumberFormat="1" applyFont="1" applyFill="1" applyAlignment="1">
      <alignment horizontal="right"/>
    </xf>
    <xf numFmtId="5" fontId="13" fillId="0" borderId="32" xfId="42" applyNumberFormat="1" applyFont="1" applyFill="1" applyBorder="1" applyAlignment="1">
      <alignment horizontal="right"/>
    </xf>
    <xf numFmtId="5" fontId="13" fillId="0" borderId="33" xfId="42" applyNumberFormat="1" applyFont="1" applyFill="1" applyBorder="1" applyAlignment="1">
      <alignment horizontal="right"/>
    </xf>
    <xf numFmtId="5" fontId="9" fillId="0" borderId="35" xfId="42" applyNumberFormat="1" applyFont="1" applyFill="1" applyBorder="1" applyAlignment="1">
      <alignment horizontal="right"/>
    </xf>
    <xf numFmtId="5" fontId="13" fillId="0" borderId="0" xfId="42" applyNumberFormat="1" applyFont="1" applyFill="1" applyBorder="1" applyAlignment="1">
      <alignment horizontal="right"/>
    </xf>
    <xf numFmtId="5" fontId="9" fillId="0" borderId="0" xfId="42" applyNumberFormat="1" applyFont="1" applyFill="1" applyBorder="1" applyAlignment="1">
      <alignment horizontal="right"/>
    </xf>
    <xf numFmtId="5" fontId="13" fillId="0" borderId="0" xfId="42" applyNumberFormat="1" applyFont="1" applyAlignment="1">
      <alignment horizontal="right"/>
    </xf>
    <xf numFmtId="5" fontId="9" fillId="0" borderId="13" xfId="42" applyNumberFormat="1" applyFont="1" applyFill="1" applyBorder="1" applyAlignment="1">
      <alignment horizontal="right"/>
    </xf>
    <xf numFmtId="5" fontId="9" fillId="0" borderId="15" xfId="44" applyNumberFormat="1" applyFont="1" applyFill="1" applyBorder="1" applyAlignment="1">
      <alignment horizontal="right"/>
    </xf>
    <xf numFmtId="43" fontId="13" fillId="0" borderId="33" xfId="42" applyFont="1" applyFill="1" applyBorder="1" applyAlignment="1">
      <alignment horizontal="right"/>
    </xf>
    <xf numFmtId="164" fontId="13" fillId="0" borderId="33" xfId="42" applyNumberFormat="1" applyFont="1" applyFill="1" applyBorder="1" applyAlignment="1">
      <alignment horizontal="right"/>
    </xf>
    <xf numFmtId="164" fontId="34" fillId="0" borderId="33" xfId="42" applyNumberFormat="1" applyFont="1" applyFill="1" applyBorder="1" applyAlignment="1">
      <alignment horizontal="right"/>
    </xf>
    <xf numFmtId="164" fontId="13" fillId="0" borderId="13" xfId="42" applyNumberFormat="1" applyFont="1" applyFill="1" applyBorder="1" applyAlignment="1">
      <alignment horizontal="right"/>
    </xf>
    <xf numFmtId="164" fontId="13" fillId="0" borderId="0" xfId="42" applyNumberFormat="1" applyFont="1" applyFill="1" applyBorder="1" applyAlignment="1">
      <alignment horizontal="right"/>
    </xf>
    <xf numFmtId="164" fontId="9" fillId="0" borderId="0" xfId="42" applyNumberFormat="1" applyFont="1" applyFill="1" applyBorder="1" applyAlignment="1">
      <alignment horizontal="right"/>
    </xf>
    <xf numFmtId="164" fontId="9" fillId="0" borderId="14" xfId="42" applyNumberFormat="1" applyFont="1" applyFill="1" applyBorder="1" applyAlignment="1">
      <alignment horizontal="right"/>
    </xf>
    <xf numFmtId="164" fontId="13" fillId="0" borderId="24" xfId="42" applyNumberFormat="1" applyFont="1" applyBorder="1" applyAlignment="1">
      <alignment/>
    </xf>
    <xf numFmtId="164" fontId="13" fillId="0" borderId="36" xfId="42" applyNumberFormat="1" applyFont="1" applyBorder="1" applyAlignment="1">
      <alignment/>
    </xf>
    <xf numFmtId="164" fontId="13" fillId="0" borderId="37" xfId="42" applyNumberFormat="1" applyFont="1" applyBorder="1" applyAlignment="1">
      <alignment/>
    </xf>
    <xf numFmtId="164" fontId="13" fillId="0" borderId="31" xfId="42" applyNumberFormat="1" applyFont="1" applyBorder="1" applyAlignment="1">
      <alignment/>
    </xf>
    <xf numFmtId="164" fontId="13" fillId="0" borderId="29" xfId="42" applyNumberFormat="1" applyFont="1" applyBorder="1" applyAlignment="1">
      <alignment/>
    </xf>
    <xf numFmtId="5" fontId="13" fillId="0" borderId="0" xfId="42" applyNumberFormat="1" applyFont="1" applyBorder="1" applyAlignment="1">
      <alignment/>
    </xf>
    <xf numFmtId="164" fontId="4" fillId="0" borderId="0" xfId="42" applyNumberFormat="1" applyFont="1" applyFill="1" applyBorder="1" applyAlignment="1">
      <alignment/>
    </xf>
    <xf numFmtId="164" fontId="4" fillId="0" borderId="31" xfId="42" applyNumberFormat="1" applyFont="1" applyFill="1" applyBorder="1" applyAlignment="1">
      <alignment/>
    </xf>
    <xf numFmtId="164" fontId="4" fillId="0" borderId="14" xfId="42" applyNumberFormat="1" applyFont="1" applyFill="1" applyBorder="1" applyAlignment="1">
      <alignment/>
    </xf>
    <xf numFmtId="164" fontId="7" fillId="0" borderId="38" xfId="42" applyNumberFormat="1" applyFont="1" applyFill="1" applyBorder="1" applyAlignment="1">
      <alignment/>
    </xf>
    <xf numFmtId="164" fontId="4" fillId="0" borderId="29" xfId="42" applyNumberFormat="1" applyFont="1" applyFill="1" applyBorder="1" applyAlignment="1">
      <alignment/>
    </xf>
    <xf numFmtId="164" fontId="26" fillId="0" borderId="0" xfId="42" applyNumberFormat="1" applyFont="1" applyFill="1" applyBorder="1" applyAlignment="1">
      <alignment/>
    </xf>
    <xf numFmtId="164" fontId="7" fillId="0" borderId="14" xfId="42" applyNumberFormat="1" applyFont="1" applyFill="1" applyBorder="1" applyAlignment="1">
      <alignment/>
    </xf>
    <xf numFmtId="164" fontId="8" fillId="0" borderId="0" xfId="42" applyNumberFormat="1" applyFont="1" applyFill="1" applyBorder="1" applyAlignment="1">
      <alignment wrapText="1"/>
    </xf>
    <xf numFmtId="164" fontId="4" fillId="0" borderId="0" xfId="42" applyNumberFormat="1" applyFont="1" applyFill="1" applyAlignment="1">
      <alignment/>
    </xf>
    <xf numFmtId="164" fontId="7" fillId="0" borderId="0" xfId="42" applyNumberFormat="1" applyFont="1" applyFill="1" applyBorder="1" applyAlignment="1">
      <alignment/>
    </xf>
    <xf numFmtId="5" fontId="7" fillId="0" borderId="15" xfId="42" applyNumberFormat="1" applyFont="1" applyFill="1" applyBorder="1" applyAlignment="1">
      <alignment/>
    </xf>
    <xf numFmtId="5" fontId="4" fillId="0" borderId="0" xfId="42" applyNumberFormat="1" applyFont="1" applyFill="1" applyBorder="1" applyAlignment="1">
      <alignment/>
    </xf>
    <xf numFmtId="5" fontId="4" fillId="0" borderId="29" xfId="42" applyNumberFormat="1" applyFont="1" applyFill="1" applyBorder="1" applyAlignment="1">
      <alignment/>
    </xf>
    <xf numFmtId="164" fontId="39" fillId="0" borderId="0" xfId="42" applyNumberFormat="1" applyFont="1" applyFill="1" applyBorder="1" applyAlignment="1">
      <alignment/>
    </xf>
    <xf numFmtId="164" fontId="9" fillId="33" borderId="13" xfId="42" applyNumberFormat="1" applyFont="1" applyFill="1" applyBorder="1" applyAlignment="1">
      <alignment horizontal="centerContinuous"/>
    </xf>
    <xf numFmtId="164" fontId="13" fillId="0" borderId="29" xfId="42" applyNumberFormat="1" applyFont="1" applyBorder="1" applyAlignment="1">
      <alignment horizontal="right"/>
    </xf>
    <xf numFmtId="164" fontId="13" fillId="37" borderId="36" xfId="42" applyNumberFormat="1" applyFont="1" applyFill="1" applyBorder="1" applyAlignment="1">
      <alignment horizontal="right"/>
    </xf>
    <xf numFmtId="164" fontId="13" fillId="0" borderId="31" xfId="42" applyNumberFormat="1" applyFont="1" applyBorder="1" applyAlignment="1">
      <alignment horizontal="right"/>
    </xf>
    <xf numFmtId="164" fontId="13" fillId="0" borderId="13" xfId="42" applyNumberFormat="1" applyFont="1" applyBorder="1" applyAlignment="1">
      <alignment horizontal="right"/>
    </xf>
    <xf numFmtId="164" fontId="13" fillId="37" borderId="24" xfId="42" applyNumberFormat="1" applyFont="1" applyFill="1" applyBorder="1" applyAlignment="1">
      <alignment horizontal="right"/>
    </xf>
    <xf numFmtId="164" fontId="22" fillId="0" borderId="29" xfId="42" applyNumberFormat="1" applyFont="1" applyBorder="1" applyAlignment="1">
      <alignment horizontal="right"/>
    </xf>
    <xf numFmtId="164" fontId="9" fillId="37" borderId="36" xfId="42" applyNumberFormat="1" applyFont="1" applyFill="1" applyBorder="1" applyAlignment="1">
      <alignment horizontal="right"/>
    </xf>
    <xf numFmtId="164" fontId="13" fillId="0" borderId="36" xfId="42" applyNumberFormat="1" applyFont="1" applyBorder="1" applyAlignment="1">
      <alignment horizontal="right"/>
    </xf>
    <xf numFmtId="164" fontId="9" fillId="37" borderId="39" xfId="42" applyNumberFormat="1" applyFont="1" applyFill="1" applyBorder="1" applyAlignment="1">
      <alignment horizontal="right"/>
    </xf>
    <xf numFmtId="164" fontId="13" fillId="0" borderId="24" xfId="42" applyNumberFormat="1" applyFont="1" applyBorder="1" applyAlignment="1">
      <alignment horizontal="right"/>
    </xf>
    <xf numFmtId="5" fontId="13" fillId="0" borderId="0" xfId="42" applyNumberFormat="1" applyFont="1" applyBorder="1" applyAlignment="1">
      <alignment horizontal="centerContinuous"/>
    </xf>
    <xf numFmtId="5" fontId="13" fillId="0" borderId="36" xfId="42" applyNumberFormat="1" applyFont="1" applyBorder="1" applyAlignment="1">
      <alignment horizontal="centerContinuous"/>
    </xf>
    <xf numFmtId="5" fontId="9" fillId="33" borderId="30" xfId="42" applyNumberFormat="1" applyFont="1" applyFill="1" applyBorder="1" applyAlignment="1" quotePrefix="1">
      <alignment horizontal="centerContinuous"/>
    </xf>
    <xf numFmtId="5" fontId="9" fillId="33" borderId="40" xfId="42" applyNumberFormat="1" applyFont="1" applyFill="1" applyBorder="1" applyAlignment="1" quotePrefix="1">
      <alignment horizontal="centerContinuous" wrapText="1"/>
    </xf>
    <xf numFmtId="5" fontId="13" fillId="33" borderId="23" xfId="42" applyNumberFormat="1" applyFont="1" applyFill="1" applyBorder="1" applyAlignment="1">
      <alignment horizontal="centerContinuous"/>
    </xf>
    <xf numFmtId="5" fontId="9" fillId="33" borderId="31" xfId="42" applyNumberFormat="1" applyFont="1" applyFill="1" applyBorder="1" applyAlignment="1">
      <alignment horizontal="centerContinuous"/>
    </xf>
    <xf numFmtId="5" fontId="9" fillId="33" borderId="13" xfId="42" applyNumberFormat="1" applyFont="1" applyFill="1" applyBorder="1" applyAlignment="1">
      <alignment horizontal="centerContinuous"/>
    </xf>
    <xf numFmtId="5" fontId="9" fillId="33" borderId="24" xfId="42" applyNumberFormat="1" applyFont="1" applyFill="1" applyBorder="1" applyAlignment="1">
      <alignment horizontal="centerContinuous"/>
    </xf>
    <xf numFmtId="5" fontId="9" fillId="0" borderId="30" xfId="42" applyNumberFormat="1" applyFont="1" applyBorder="1" applyAlignment="1">
      <alignment horizontal="centerContinuous"/>
    </xf>
    <xf numFmtId="5" fontId="9" fillId="0" borderId="40" xfId="42" applyNumberFormat="1" applyFont="1" applyBorder="1" applyAlignment="1">
      <alignment horizontal="centerContinuous"/>
    </xf>
    <xf numFmtId="5" fontId="9" fillId="0" borderId="23" xfId="42" applyNumberFormat="1" applyFont="1" applyBorder="1" applyAlignment="1">
      <alignment horizontal="centerContinuous"/>
    </xf>
    <xf numFmtId="5" fontId="13" fillId="0" borderId="29" xfId="42" applyNumberFormat="1" applyFont="1" applyBorder="1" applyAlignment="1">
      <alignment horizontal="right"/>
    </xf>
    <xf numFmtId="5" fontId="13" fillId="37" borderId="36" xfId="42" applyNumberFormat="1" applyFont="1" applyFill="1" applyBorder="1" applyAlignment="1">
      <alignment horizontal="right"/>
    </xf>
    <xf numFmtId="5" fontId="13" fillId="0" borderId="31" xfId="42" applyNumberFormat="1" applyFont="1" applyBorder="1" applyAlignment="1">
      <alignment horizontal="right"/>
    </xf>
    <xf numFmtId="5" fontId="13" fillId="0" borderId="13" xfId="42" applyNumberFormat="1" applyFont="1" applyBorder="1" applyAlignment="1">
      <alignment horizontal="right"/>
    </xf>
    <xf numFmtId="5" fontId="9" fillId="37" borderId="36" xfId="42" applyNumberFormat="1" applyFont="1" applyFill="1" applyBorder="1" applyAlignment="1">
      <alignment horizontal="right"/>
    </xf>
    <xf numFmtId="5" fontId="9" fillId="37" borderId="24" xfId="42" applyNumberFormat="1" applyFont="1" applyFill="1" applyBorder="1" applyAlignment="1">
      <alignment horizontal="right" wrapText="1"/>
    </xf>
    <xf numFmtId="5" fontId="30" fillId="0" borderId="0" xfId="42" applyNumberFormat="1" applyFont="1" applyBorder="1" applyAlignment="1">
      <alignment/>
    </xf>
    <xf numFmtId="5" fontId="29" fillId="0" borderId="0" xfId="42" applyNumberFormat="1" applyFont="1" applyBorder="1" applyAlignment="1">
      <alignment horizontal="right"/>
    </xf>
    <xf numFmtId="5" fontId="9" fillId="0" borderId="0" xfId="42" applyNumberFormat="1" applyFont="1" applyBorder="1" applyAlignment="1">
      <alignment horizontal="right"/>
    </xf>
    <xf numFmtId="5" fontId="32" fillId="0" borderId="0" xfId="42" applyNumberFormat="1" applyFont="1" applyBorder="1" applyAlignment="1">
      <alignment horizontal="right"/>
    </xf>
    <xf numFmtId="5" fontId="33" fillId="0" borderId="0" xfId="42" applyNumberFormat="1" applyFont="1" applyBorder="1" applyAlignment="1">
      <alignment horizontal="right"/>
    </xf>
    <xf numFmtId="5" fontId="33" fillId="0" borderId="0" xfId="42" applyNumberFormat="1" applyFont="1" applyBorder="1" applyAlignment="1">
      <alignment horizontal="right"/>
    </xf>
    <xf numFmtId="5" fontId="4" fillId="0" borderId="0" xfId="42" applyNumberFormat="1" applyFont="1" applyBorder="1" applyAlignment="1">
      <alignment/>
    </xf>
    <xf numFmtId="5" fontId="13" fillId="0" borderId="29" xfId="42" applyNumberFormat="1" applyFont="1" applyFill="1" applyBorder="1" applyAlignment="1">
      <alignment horizontal="right"/>
    </xf>
    <xf numFmtId="5" fontId="9" fillId="0" borderId="15" xfId="42" applyNumberFormat="1" applyFont="1" applyFill="1" applyBorder="1" applyAlignment="1">
      <alignment horizontal="right"/>
    </xf>
    <xf numFmtId="5" fontId="9" fillId="0" borderId="41" xfId="42" applyNumberFormat="1" applyFont="1" applyFill="1" applyBorder="1" applyAlignment="1">
      <alignment horizontal="right"/>
    </xf>
    <xf numFmtId="164" fontId="13" fillId="0" borderId="29" xfId="42" applyNumberFormat="1" applyFont="1" applyFill="1" applyBorder="1" applyAlignment="1">
      <alignment horizontal="right"/>
    </xf>
    <xf numFmtId="164" fontId="9" fillId="0" borderId="41" xfId="42" applyNumberFormat="1" applyFont="1" applyBorder="1" applyAlignment="1">
      <alignment horizontal="right"/>
    </xf>
    <xf numFmtId="167" fontId="13" fillId="0" borderId="0" xfId="42" applyNumberFormat="1" applyFont="1" applyFill="1" applyAlignment="1">
      <alignment horizontal="right"/>
    </xf>
    <xf numFmtId="164" fontId="13" fillId="0" borderId="31" xfId="42" applyNumberFormat="1" applyFont="1" applyFill="1" applyBorder="1" applyAlignment="1">
      <alignment horizontal="right"/>
    </xf>
    <xf numFmtId="164" fontId="30" fillId="34" borderId="0" xfId="42" applyNumberFormat="1" applyFont="1" applyFill="1" applyAlignment="1">
      <alignment horizontal="left"/>
    </xf>
    <xf numFmtId="43" fontId="9" fillId="0" borderId="15" xfId="42" applyFont="1" applyFill="1" applyBorder="1" applyAlignment="1">
      <alignment horizontal="right"/>
    </xf>
    <xf numFmtId="5" fontId="5" fillId="0" borderId="0" xfId="42" applyNumberFormat="1" applyFont="1" applyAlignment="1">
      <alignment horizontal="right"/>
    </xf>
    <xf numFmtId="5" fontId="15" fillId="0" borderId="0" xfId="42" applyNumberFormat="1" applyFont="1" applyBorder="1" applyAlignment="1">
      <alignment horizontal="right" vertical="center"/>
    </xf>
    <xf numFmtId="5" fontId="30" fillId="0" borderId="0" xfId="0" applyNumberFormat="1" applyFont="1" applyBorder="1" applyAlignment="1" quotePrefix="1">
      <alignment horizontal="right"/>
    </xf>
    <xf numFmtId="164" fontId="9" fillId="0" borderId="0" xfId="42" applyNumberFormat="1" applyFont="1" applyAlignment="1">
      <alignment horizontal="right"/>
    </xf>
    <xf numFmtId="164" fontId="22" fillId="0" borderId="0" xfId="42" applyNumberFormat="1" applyFont="1" applyBorder="1" applyAlignment="1">
      <alignment horizontal="right"/>
    </xf>
    <xf numFmtId="5" fontId="9" fillId="0" borderId="42" xfId="42" applyNumberFormat="1" applyFont="1" applyBorder="1" applyAlignment="1">
      <alignment/>
    </xf>
    <xf numFmtId="164" fontId="9" fillId="37" borderId="24" xfId="42" applyNumberFormat="1" applyFont="1" applyFill="1" applyBorder="1" applyAlignment="1">
      <alignment horizontal="right"/>
    </xf>
    <xf numFmtId="164" fontId="13" fillId="37" borderId="13" xfId="42" applyNumberFormat="1" applyFont="1" applyFill="1" applyBorder="1" applyAlignment="1">
      <alignment horizontal="right"/>
    </xf>
    <xf numFmtId="164" fontId="13" fillId="37" borderId="0" xfId="42" applyNumberFormat="1" applyFont="1" applyFill="1" applyBorder="1" applyAlignment="1">
      <alignment horizontal="right"/>
    </xf>
    <xf numFmtId="5" fontId="9" fillId="0" borderId="36" xfId="42" applyNumberFormat="1" applyFont="1" applyBorder="1" applyAlignment="1">
      <alignment/>
    </xf>
    <xf numFmtId="43" fontId="4" fillId="0" borderId="0" xfId="42" applyFont="1" applyFill="1" applyBorder="1" applyAlignment="1">
      <alignment/>
    </xf>
    <xf numFmtId="5" fontId="9" fillId="37" borderId="24" xfId="42" applyNumberFormat="1" applyFont="1" applyFill="1" applyBorder="1" applyAlignment="1">
      <alignment horizontal="right"/>
    </xf>
    <xf numFmtId="172" fontId="9" fillId="0" borderId="0" xfId="42" applyNumberFormat="1" applyFont="1" applyFill="1" applyAlignment="1">
      <alignment horizontal="centerContinuous"/>
    </xf>
    <xf numFmtId="172" fontId="5" fillId="0" borderId="0" xfId="42" applyNumberFormat="1" applyFont="1" applyAlignment="1">
      <alignment/>
    </xf>
    <xf numFmtId="172" fontId="13" fillId="0" borderId="0" xfId="42" applyNumberFormat="1" applyFont="1" applyBorder="1" applyAlignment="1">
      <alignment/>
    </xf>
    <xf numFmtId="7" fontId="9" fillId="35" borderId="0" xfId="42" applyNumberFormat="1" applyFont="1" applyFill="1" applyBorder="1" applyAlignment="1" applyProtection="1">
      <alignment horizontal="center"/>
      <protection locked="0"/>
    </xf>
    <xf numFmtId="7" fontId="13" fillId="35" borderId="0" xfId="0" applyNumberFormat="1" applyFont="1" applyFill="1" applyBorder="1" applyAlignment="1" applyProtection="1">
      <alignment horizontal="left"/>
      <protection locked="0"/>
    </xf>
    <xf numFmtId="7" fontId="9" fillId="35" borderId="0" xfId="0" applyNumberFormat="1" applyFont="1" applyFill="1" applyBorder="1" applyAlignment="1" applyProtection="1">
      <alignment horizontal="center" wrapText="1"/>
      <protection locked="0"/>
    </xf>
    <xf numFmtId="7" fontId="14" fillId="33" borderId="0" xfId="42" applyNumberFormat="1" applyFont="1" applyFill="1" applyAlignment="1">
      <alignment horizontal="center" wrapText="1"/>
    </xf>
    <xf numFmtId="7" fontId="14" fillId="36" borderId="0" xfId="42" applyNumberFormat="1" applyFont="1" applyFill="1" applyBorder="1" applyAlignment="1" applyProtection="1">
      <alignment horizontal="center" wrapText="1"/>
      <protection locked="0"/>
    </xf>
    <xf numFmtId="5" fontId="14" fillId="33" borderId="0" xfId="42" applyNumberFormat="1" applyFont="1" applyFill="1" applyAlignment="1">
      <alignment horizontal="center" wrapText="1"/>
    </xf>
    <xf numFmtId="5" fontId="14" fillId="33" borderId="0" xfId="0" applyNumberFormat="1" applyFont="1" applyFill="1" applyAlignment="1">
      <alignment horizontal="center" wrapText="1"/>
    </xf>
    <xf numFmtId="41" fontId="39" fillId="0" borderId="0" xfId="0" applyNumberFormat="1" applyFont="1" applyAlignment="1">
      <alignment/>
    </xf>
    <xf numFmtId="169" fontId="39" fillId="0" borderId="0" xfId="0" applyNumberFormat="1" applyFont="1" applyAlignment="1">
      <alignment/>
    </xf>
    <xf numFmtId="9" fontId="39" fillId="0" borderId="0" xfId="58" applyFont="1" applyAlignment="1">
      <alignment horizontal="right" wrapText="1"/>
    </xf>
    <xf numFmtId="169" fontId="39" fillId="0" borderId="0" xfId="0" applyNumberFormat="1" applyFont="1" applyAlignment="1">
      <alignment horizontal="right" wrapText="1"/>
    </xf>
    <xf numFmtId="39" fontId="39" fillId="0" borderId="0" xfId="0" applyNumberFormat="1" applyFont="1" applyAlignment="1">
      <alignment/>
    </xf>
    <xf numFmtId="38" fontId="39" fillId="0" borderId="0" xfId="0" applyNumberFormat="1" applyFont="1" applyAlignment="1">
      <alignment/>
    </xf>
    <xf numFmtId="43" fontId="39" fillId="0" borderId="0" xfId="42" applyFont="1" applyAlignment="1">
      <alignment/>
    </xf>
    <xf numFmtId="9" fontId="39" fillId="0" borderId="0" xfId="58" applyFont="1" applyAlignment="1">
      <alignment horizontal="centerContinuous" wrapText="1"/>
    </xf>
    <xf numFmtId="0" fontId="52" fillId="0" borderId="0" xfId="0" applyFont="1" applyAlignment="1">
      <alignment/>
    </xf>
    <xf numFmtId="0" fontId="53" fillId="0" borderId="0" xfId="0" applyFont="1" applyAlignment="1">
      <alignment/>
    </xf>
    <xf numFmtId="0" fontId="30" fillId="0" borderId="0" xfId="0" applyFont="1" applyAlignment="1">
      <alignment/>
    </xf>
    <xf numFmtId="0" fontId="25" fillId="0" borderId="0" xfId="0" applyFont="1" applyAlignment="1">
      <alignment/>
    </xf>
    <xf numFmtId="0" fontId="29" fillId="0" borderId="0" xfId="0" applyNumberFormat="1" applyFont="1" applyAlignment="1">
      <alignment horizontal="right" wrapText="1"/>
    </xf>
    <xf numFmtId="38" fontId="25" fillId="0" borderId="0" xfId="0" applyNumberFormat="1" applyFont="1" applyAlignment="1">
      <alignment horizontal="left"/>
    </xf>
    <xf numFmtId="5" fontId="25" fillId="0" borderId="0" xfId="0" applyNumberFormat="1" applyFont="1" applyAlignment="1">
      <alignment/>
    </xf>
    <xf numFmtId="43" fontId="13" fillId="0" borderId="0" xfId="42" applyFont="1" applyFill="1" applyBorder="1" applyAlignment="1">
      <alignment horizontal="right"/>
    </xf>
    <xf numFmtId="164" fontId="4" fillId="0" borderId="0" xfId="42" applyNumberFormat="1" applyFont="1" applyFill="1" applyBorder="1" applyAlignment="1">
      <alignment/>
    </xf>
    <xf numFmtId="164" fontId="4" fillId="0" borderId="0" xfId="0" applyNumberFormat="1" applyFont="1" applyFill="1" applyBorder="1" applyAlignment="1">
      <alignment/>
    </xf>
    <xf numFmtId="38" fontId="7" fillId="0" borderId="15" xfId="0" applyNumberFormat="1" applyFont="1" applyFill="1" applyBorder="1" applyAlignment="1">
      <alignment/>
    </xf>
    <xf numFmtId="164" fontId="7" fillId="0" borderId="0" xfId="42" applyNumberFormat="1" applyFont="1" applyFill="1" applyBorder="1" applyAlignment="1">
      <alignment horizontal="right"/>
    </xf>
    <xf numFmtId="38" fontId="4" fillId="0" borderId="0" xfId="42" applyNumberFormat="1" applyFont="1" applyFill="1" applyBorder="1" applyAlignment="1">
      <alignment horizontal="right"/>
    </xf>
    <xf numFmtId="5" fontId="9" fillId="37" borderId="36" xfId="42" applyNumberFormat="1" applyFont="1" applyFill="1" applyBorder="1" applyAlignment="1">
      <alignment horizontal="right" wrapText="1"/>
    </xf>
    <xf numFmtId="0" fontId="13" fillId="0" borderId="32" xfId="0" applyFont="1" applyBorder="1" applyAlignment="1">
      <alignment horizontal="left"/>
    </xf>
    <xf numFmtId="0" fontId="13" fillId="0" borderId="33" xfId="0" applyFont="1" applyBorder="1" applyAlignment="1">
      <alignment horizontal="left"/>
    </xf>
    <xf numFmtId="164" fontId="13" fillId="0" borderId="33" xfId="42" applyNumberFormat="1" applyFont="1" applyBorder="1" applyAlignment="1">
      <alignment/>
    </xf>
    <xf numFmtId="164" fontId="13" fillId="0" borderId="33" xfId="42" applyNumberFormat="1" applyFont="1" applyBorder="1" applyAlignment="1">
      <alignment horizontal="left"/>
    </xf>
    <xf numFmtId="164" fontId="13" fillId="0" borderId="33" xfId="0" applyNumberFormat="1" applyFont="1" applyBorder="1" applyAlignment="1">
      <alignment horizontal="left"/>
    </xf>
    <xf numFmtId="164" fontId="13" fillId="0" borderId="13" xfId="42" applyNumberFormat="1" applyFont="1" applyBorder="1" applyAlignment="1">
      <alignment horizontal="left"/>
    </xf>
    <xf numFmtId="43" fontId="13" fillId="0" borderId="33" xfId="42" applyFont="1" applyBorder="1" applyAlignment="1">
      <alignment/>
    </xf>
    <xf numFmtId="164" fontId="13" fillId="0" borderId="33" xfId="42" applyNumberFormat="1" applyFont="1" applyBorder="1" applyAlignment="1">
      <alignment/>
    </xf>
    <xf numFmtId="164" fontId="13" fillId="0" borderId="33" xfId="42" applyNumberFormat="1" applyFont="1" applyFill="1" applyBorder="1" applyAlignment="1">
      <alignment horizontal="left"/>
    </xf>
    <xf numFmtId="0" fontId="11" fillId="0" borderId="0" xfId="0" applyFont="1" applyFill="1" applyBorder="1" applyAlignment="1">
      <alignment/>
    </xf>
    <xf numFmtId="0" fontId="11" fillId="0" borderId="0" xfId="0" applyFont="1" applyBorder="1" applyAlignment="1">
      <alignment horizontal="left"/>
    </xf>
    <xf numFmtId="0" fontId="11" fillId="0" borderId="36" xfId="0" applyFont="1" applyBorder="1" applyAlignment="1">
      <alignment/>
    </xf>
    <xf numFmtId="7" fontId="13" fillId="0" borderId="29" xfId="0" applyNumberFormat="1" applyFont="1" applyFill="1" applyBorder="1" applyAlignment="1">
      <alignment/>
    </xf>
    <xf numFmtId="5" fontId="14" fillId="33" borderId="0" xfId="42" applyNumberFormat="1" applyFont="1" applyFill="1" applyBorder="1" applyAlignment="1">
      <alignment horizontal="right" wrapText="1"/>
    </xf>
    <xf numFmtId="0" fontId="13" fillId="33" borderId="0" xfId="0" applyFont="1" applyFill="1" applyBorder="1" applyAlignment="1">
      <alignment/>
    </xf>
    <xf numFmtId="7" fontId="15" fillId="0" borderId="29" xfId="0" applyNumberFormat="1" applyFont="1" applyFill="1" applyBorder="1" applyAlignment="1">
      <alignment horizontal="left" wrapText="1"/>
    </xf>
    <xf numFmtId="7" fontId="13" fillId="0" borderId="29" xfId="45" applyNumberFormat="1" applyFont="1" applyFill="1" applyBorder="1" applyAlignment="1">
      <alignment horizontal="left" wrapText="1"/>
    </xf>
    <xf numFmtId="0" fontId="13" fillId="33" borderId="0" xfId="0" applyFont="1" applyFill="1" applyBorder="1" applyAlignment="1">
      <alignment horizontal="centerContinuous" wrapText="1"/>
    </xf>
    <xf numFmtId="7" fontId="13" fillId="0" borderId="29" xfId="0" applyNumberFormat="1" applyFont="1" applyBorder="1" applyAlignment="1">
      <alignment/>
    </xf>
    <xf numFmtId="0" fontId="13" fillId="0" borderId="29" xfId="0" applyFont="1" applyBorder="1" applyAlignment="1">
      <alignment/>
    </xf>
    <xf numFmtId="0" fontId="13" fillId="33" borderId="0" xfId="0" applyFont="1" applyFill="1" applyBorder="1" applyAlignment="1">
      <alignment horizontal="left"/>
    </xf>
    <xf numFmtId="7" fontId="9" fillId="0" borderId="29" xfId="45" applyNumberFormat="1" applyFont="1" applyFill="1" applyBorder="1" applyAlignment="1">
      <alignment horizontal="center" wrapText="1"/>
    </xf>
    <xf numFmtId="7" fontId="13" fillId="0" borderId="29" xfId="45" applyNumberFormat="1" applyFont="1" applyFill="1" applyBorder="1" applyAlignment="1">
      <alignment horizontal="right" wrapText="1"/>
    </xf>
    <xf numFmtId="43" fontId="13" fillId="0" borderId="0" xfId="42" applyFont="1" applyBorder="1" applyAlignment="1">
      <alignment horizontal="left"/>
    </xf>
    <xf numFmtId="0" fontId="13" fillId="0" borderId="36" xfId="0" applyFont="1" applyBorder="1" applyAlignment="1">
      <alignment/>
    </xf>
    <xf numFmtId="7" fontId="15" fillId="0" borderId="29" xfId="45" applyNumberFormat="1" applyFont="1" applyFill="1" applyBorder="1" applyAlignment="1">
      <alignment horizontal="left" wrapText="1"/>
    </xf>
    <xf numFmtId="7" fontId="13" fillId="0" borderId="29" xfId="45" applyNumberFormat="1" applyFont="1" applyFill="1" applyBorder="1" applyAlignment="1">
      <alignment horizontal="left"/>
    </xf>
    <xf numFmtId="5" fontId="4" fillId="0" borderId="0" xfId="42" applyNumberFormat="1" applyFont="1" applyBorder="1" applyAlignment="1">
      <alignment horizontal="right"/>
    </xf>
    <xf numFmtId="164" fontId="9" fillId="0" borderId="36" xfId="42" applyNumberFormat="1" applyFont="1" applyFill="1" applyBorder="1" applyAlignment="1">
      <alignment horizontal="right"/>
    </xf>
    <xf numFmtId="7" fontId="9" fillId="0" borderId="29" xfId="45" applyNumberFormat="1" applyFont="1" applyFill="1" applyBorder="1" applyAlignment="1">
      <alignment horizontal="left"/>
    </xf>
    <xf numFmtId="164" fontId="9" fillId="0" borderId="39" xfId="42" applyNumberFormat="1" applyFont="1" applyFill="1" applyBorder="1" applyAlignment="1">
      <alignment horizontal="right"/>
    </xf>
    <xf numFmtId="7" fontId="9" fillId="0" borderId="31" xfId="45" applyNumberFormat="1" applyFont="1" applyFill="1" applyBorder="1" applyAlignment="1">
      <alignment horizontal="left"/>
    </xf>
    <xf numFmtId="5" fontId="13" fillId="0" borderId="13" xfId="42" applyNumberFormat="1" applyFont="1" applyFill="1" applyBorder="1" applyAlignment="1">
      <alignment horizontal="right"/>
    </xf>
    <xf numFmtId="0" fontId="13" fillId="33" borderId="13" xfId="0" applyFont="1" applyFill="1" applyBorder="1" applyAlignment="1">
      <alignment horizontal="centerContinuous" wrapText="1"/>
    </xf>
    <xf numFmtId="5" fontId="9" fillId="0" borderId="42" xfId="44" applyNumberFormat="1" applyFont="1" applyFill="1" applyBorder="1" applyAlignment="1">
      <alignment horizontal="right"/>
    </xf>
    <xf numFmtId="5" fontId="14" fillId="33" borderId="36" xfId="42" applyNumberFormat="1" applyFont="1" applyFill="1" applyBorder="1" applyAlignment="1">
      <alignment horizontal="right" wrapText="1"/>
    </xf>
    <xf numFmtId="0" fontId="9" fillId="33" borderId="0" xfId="0" applyFont="1" applyFill="1" applyBorder="1" applyAlignment="1">
      <alignment/>
    </xf>
    <xf numFmtId="5" fontId="13" fillId="33" borderId="0" xfId="42" applyNumberFormat="1" applyFont="1" applyFill="1" applyBorder="1" applyAlignment="1">
      <alignment horizontal="right"/>
    </xf>
    <xf numFmtId="0" fontId="6" fillId="0" borderId="0" xfId="0" applyFont="1" applyBorder="1" applyAlignment="1">
      <alignment horizontal="centerContinuous"/>
    </xf>
    <xf numFmtId="164" fontId="4" fillId="0" borderId="0" xfId="42" applyNumberFormat="1" applyFont="1" applyBorder="1" applyAlignment="1">
      <alignment horizontal="centerContinuous"/>
    </xf>
    <xf numFmtId="164" fontId="9" fillId="33" borderId="0" xfId="42" applyNumberFormat="1" applyFont="1" applyFill="1" applyBorder="1" applyAlignment="1">
      <alignment horizontal="centerContinuous"/>
    </xf>
    <xf numFmtId="0" fontId="15" fillId="0" borderId="0" xfId="0" applyFont="1" applyBorder="1" applyAlignment="1">
      <alignment/>
    </xf>
    <xf numFmtId="164" fontId="15" fillId="0" borderId="0" xfId="42" applyNumberFormat="1" applyFont="1" applyBorder="1" applyAlignment="1">
      <alignment/>
    </xf>
    <xf numFmtId="164" fontId="15" fillId="0" borderId="23" xfId="42" applyNumberFormat="1" applyFont="1" applyBorder="1" applyAlignment="1">
      <alignment/>
    </xf>
    <xf numFmtId="164" fontId="15" fillId="0" borderId="36" xfId="42" applyNumberFormat="1" applyFont="1" applyBorder="1" applyAlignment="1">
      <alignment/>
    </xf>
    <xf numFmtId="164" fontId="13" fillId="0" borderId="43" xfId="42" applyNumberFormat="1" applyFont="1" applyBorder="1" applyAlignment="1">
      <alignment/>
    </xf>
    <xf numFmtId="0" fontId="54" fillId="0" borderId="0" xfId="0" applyFont="1" applyAlignment="1">
      <alignment horizontal="center"/>
    </xf>
    <xf numFmtId="0" fontId="2" fillId="0" borderId="0" xfId="0" applyFont="1" applyAlignment="1">
      <alignment/>
    </xf>
    <xf numFmtId="0" fontId="4" fillId="0" borderId="0" xfId="0" applyNumberFormat="1" applyFont="1" applyBorder="1" applyAlignment="1">
      <alignment horizontal="left"/>
    </xf>
    <xf numFmtId="41" fontId="4" fillId="0" borderId="0" xfId="0" applyNumberFormat="1" applyFont="1" applyBorder="1" applyAlignment="1">
      <alignment/>
    </xf>
    <xf numFmtId="37" fontId="0" fillId="0" borderId="0" xfId="0" applyNumberFormat="1" applyAlignment="1">
      <alignment/>
    </xf>
    <xf numFmtId="37" fontId="2" fillId="0" borderId="0" xfId="0" applyNumberFormat="1" applyFont="1" applyAlignment="1">
      <alignment/>
    </xf>
    <xf numFmtId="164" fontId="54" fillId="0" borderId="0" xfId="42" applyNumberFormat="1" applyFont="1" applyAlignment="1">
      <alignment horizontal="center"/>
    </xf>
    <xf numFmtId="5" fontId="7" fillId="0" borderId="0" xfId="0" applyNumberFormat="1" applyFont="1" applyBorder="1" applyAlignment="1">
      <alignment horizontal="right"/>
    </xf>
    <xf numFmtId="37" fontId="0" fillId="0" borderId="13" xfId="0" applyNumberFormat="1" applyBorder="1" applyAlignment="1">
      <alignment/>
    </xf>
    <xf numFmtId="164" fontId="0" fillId="0" borderId="13" xfId="42" applyNumberFormat="1" applyFont="1" applyBorder="1" applyAlignment="1">
      <alignment/>
    </xf>
    <xf numFmtId="164" fontId="2" fillId="0" borderId="0" xfId="42" applyNumberFormat="1" applyFont="1" applyAlignment="1">
      <alignment/>
    </xf>
    <xf numFmtId="164" fontId="2" fillId="0" borderId="11" xfId="42" applyNumberFormat="1" applyFont="1" applyBorder="1" applyAlignment="1">
      <alignment/>
    </xf>
    <xf numFmtId="164" fontId="2" fillId="0" borderId="13" xfId="42" applyNumberFormat="1" applyFont="1" applyBorder="1" applyAlignment="1">
      <alignment/>
    </xf>
    <xf numFmtId="164" fontId="0" fillId="0" borderId="0" xfId="0" applyNumberFormat="1" applyAlignment="1">
      <alignment/>
    </xf>
    <xf numFmtId="164" fontId="2" fillId="0" borderId="11" xfId="42" applyNumberFormat="1" applyFont="1" applyBorder="1" applyAlignment="1">
      <alignment/>
    </xf>
    <xf numFmtId="5" fontId="7" fillId="0" borderId="15" xfId="0" applyNumberFormat="1" applyFont="1" applyBorder="1" applyAlignment="1">
      <alignment horizontal="right"/>
    </xf>
    <xf numFmtId="164" fontId="4" fillId="0" borderId="0" xfId="42" applyNumberFormat="1" applyFont="1" applyBorder="1" applyAlignment="1">
      <alignment/>
    </xf>
    <xf numFmtId="164" fontId="4" fillId="0" borderId="0" xfId="42" applyNumberFormat="1" applyFont="1" applyBorder="1" applyAlignment="1">
      <alignment horizontal="left"/>
    </xf>
    <xf numFmtId="164" fontId="4" fillId="0" borderId="0" xfId="42" applyNumberFormat="1" applyFont="1" applyFill="1" applyBorder="1" applyAlignment="1">
      <alignment horizontal="right"/>
    </xf>
    <xf numFmtId="164" fontId="7" fillId="0" borderId="0" xfId="42" applyNumberFormat="1" applyFont="1" applyBorder="1" applyAlignment="1">
      <alignment horizontal="left"/>
    </xf>
    <xf numFmtId="164" fontId="7" fillId="0" borderId="0" xfId="42" applyNumberFormat="1" applyFont="1" applyBorder="1" applyAlignment="1">
      <alignment horizontal="left"/>
    </xf>
    <xf numFmtId="164" fontId="4" fillId="0" borderId="13" xfId="42" applyNumberFormat="1" applyFont="1" applyFill="1" applyBorder="1" applyAlignment="1">
      <alignment horizontal="left"/>
    </xf>
    <xf numFmtId="164" fontId="7" fillId="0" borderId="11" xfId="42" applyNumberFormat="1" applyFont="1" applyBorder="1" applyAlignment="1">
      <alignment horizontal="left"/>
    </xf>
    <xf numFmtId="164" fontId="7" fillId="0" borderId="0" xfId="42" applyNumberFormat="1" applyFont="1" applyBorder="1" applyAlignment="1">
      <alignment horizontal="center"/>
    </xf>
    <xf numFmtId="164" fontId="7" fillId="0" borderId="11" xfId="42" applyNumberFormat="1" applyFont="1" applyBorder="1" applyAlignment="1">
      <alignment horizontal="center"/>
    </xf>
    <xf numFmtId="164" fontId="7" fillId="0" borderId="0" xfId="42" applyNumberFormat="1" applyFont="1" applyFill="1" applyBorder="1" applyAlignment="1">
      <alignment horizontal="left"/>
    </xf>
    <xf numFmtId="164" fontId="7" fillId="0" borderId="13" xfId="42" applyNumberFormat="1" applyFont="1" applyBorder="1" applyAlignment="1">
      <alignment horizontal="left"/>
    </xf>
    <xf numFmtId="164" fontId="7" fillId="0" borderId="15" xfId="42" applyNumberFormat="1" applyFont="1" applyBorder="1" applyAlignment="1">
      <alignment horizontal="left"/>
    </xf>
    <xf numFmtId="0" fontId="13" fillId="0" borderId="0" xfId="0" applyFont="1" applyAlignment="1" quotePrefix="1">
      <alignment/>
    </xf>
    <xf numFmtId="39" fontId="0" fillId="0" borderId="0" xfId="0" applyNumberFormat="1" applyAlignment="1">
      <alignment/>
    </xf>
    <xf numFmtId="164" fontId="4" fillId="0" borderId="0" xfId="42" applyNumberFormat="1" applyFont="1" applyBorder="1" applyAlignment="1">
      <alignment horizontal="left"/>
    </xf>
    <xf numFmtId="37" fontId="0" fillId="0" borderId="0" xfId="0" applyNumberFormat="1" applyFont="1" applyAlignment="1">
      <alignment/>
    </xf>
    <xf numFmtId="43" fontId="0" fillId="0" borderId="0" xfId="42" applyFont="1" applyAlignment="1">
      <alignment/>
    </xf>
    <xf numFmtId="164" fontId="0" fillId="0" borderId="0" xfId="42" applyNumberFormat="1" applyFont="1" applyAlignment="1">
      <alignment/>
    </xf>
    <xf numFmtId="164" fontId="4" fillId="0" borderId="13" xfId="42" applyNumberFormat="1" applyFont="1" applyBorder="1" applyAlignment="1">
      <alignment horizontal="left"/>
    </xf>
    <xf numFmtId="43" fontId="2" fillId="0" borderId="0" xfId="42" applyFont="1" applyAlignment="1">
      <alignment/>
    </xf>
    <xf numFmtId="43" fontId="0" fillId="0" borderId="13" xfId="42" applyFont="1" applyBorder="1" applyAlignment="1">
      <alignment/>
    </xf>
    <xf numFmtId="164" fontId="4" fillId="0" borderId="0" xfId="42" applyNumberFormat="1" applyFont="1" applyFill="1" applyBorder="1" applyAlignment="1">
      <alignment horizontal="left"/>
    </xf>
    <xf numFmtId="0" fontId="0" fillId="0" borderId="13" xfId="0" applyBorder="1" applyAlignment="1">
      <alignment/>
    </xf>
    <xf numFmtId="164" fontId="55" fillId="0" borderId="0" xfId="42" applyNumberFormat="1" applyFont="1" applyAlignment="1">
      <alignment/>
    </xf>
    <xf numFmtId="0" fontId="56" fillId="0" borderId="0" xfId="0" applyFont="1" applyAlignment="1">
      <alignment/>
    </xf>
    <xf numFmtId="164" fontId="55" fillId="0" borderId="0" xfId="42" applyNumberFormat="1" applyFont="1" applyAlignment="1">
      <alignment/>
    </xf>
    <xf numFmtId="164" fontId="55" fillId="0" borderId="13" xfId="42" applyNumberFormat="1" applyFont="1" applyBorder="1" applyAlignment="1">
      <alignment/>
    </xf>
    <xf numFmtId="164" fontId="35" fillId="0" borderId="0" xfId="42" applyNumberFormat="1" applyFont="1" applyBorder="1" applyAlignment="1">
      <alignment horizontal="right"/>
    </xf>
    <xf numFmtId="164" fontId="55" fillId="0" borderId="0" xfId="42" applyNumberFormat="1" applyFont="1" applyBorder="1" applyAlignment="1">
      <alignment/>
    </xf>
    <xf numFmtId="164" fontId="35" fillId="0" borderId="0" xfId="0" applyNumberFormat="1" applyFont="1" applyBorder="1" applyAlignment="1">
      <alignment horizontal="right"/>
    </xf>
    <xf numFmtId="164" fontId="56" fillId="0" borderId="15" xfId="42" applyNumberFormat="1" applyFont="1" applyBorder="1" applyAlignment="1">
      <alignment/>
    </xf>
    <xf numFmtId="164" fontId="35" fillId="0" borderId="14" xfId="42" applyNumberFormat="1" applyFont="1" applyBorder="1" applyAlignment="1">
      <alignment horizontal="left"/>
    </xf>
    <xf numFmtId="0" fontId="2" fillId="0" borderId="14" xfId="0" applyFont="1" applyBorder="1" applyAlignment="1">
      <alignment/>
    </xf>
    <xf numFmtId="0" fontId="2" fillId="0" borderId="0" xfId="0" applyFont="1" applyBorder="1" applyAlignment="1">
      <alignment/>
    </xf>
    <xf numFmtId="10" fontId="2" fillId="0" borderId="11" xfId="58" applyNumberFormat="1" applyFont="1" applyBorder="1" applyAlignment="1">
      <alignment horizontal="center"/>
    </xf>
    <xf numFmtId="164" fontId="7" fillId="0" borderId="0" xfId="42" applyNumberFormat="1" applyFont="1" applyBorder="1" applyAlignment="1">
      <alignment horizontal="right"/>
    </xf>
    <xf numFmtId="0" fontId="2" fillId="0" borderId="13" xfId="0" applyFont="1" applyBorder="1" applyAlignment="1">
      <alignment/>
    </xf>
    <xf numFmtId="0" fontId="2" fillId="0" borderId="15" xfId="0" applyFont="1" applyBorder="1" applyAlignment="1">
      <alignment/>
    </xf>
    <xf numFmtId="10" fontId="7" fillId="0" borderId="0" xfId="58" applyNumberFormat="1" applyFont="1" applyBorder="1" applyAlignment="1">
      <alignment horizontal="right"/>
    </xf>
    <xf numFmtId="10" fontId="2" fillId="0" borderId="0" xfId="58" applyNumberFormat="1" applyFont="1" applyAlignment="1">
      <alignment horizontal="center"/>
    </xf>
    <xf numFmtId="10" fontId="2" fillId="0" borderId="0" xfId="58" applyNumberFormat="1" applyFont="1" applyAlignment="1">
      <alignment horizontal="center"/>
    </xf>
    <xf numFmtId="10" fontId="2" fillId="0" borderId="0" xfId="58" applyNumberFormat="1" applyFont="1" applyAlignment="1">
      <alignment horizontal="right"/>
    </xf>
    <xf numFmtId="10" fontId="7" fillId="0" borderId="13" xfId="58" applyNumberFormat="1" applyFont="1" applyBorder="1" applyAlignment="1">
      <alignment horizontal="right"/>
    </xf>
    <xf numFmtId="10" fontId="56" fillId="0" borderId="0" xfId="58" applyNumberFormat="1" applyFont="1" applyAlignment="1">
      <alignment horizontal="right"/>
    </xf>
    <xf numFmtId="10" fontId="56" fillId="0" borderId="13" xfId="58" applyNumberFormat="1" applyFont="1" applyBorder="1" applyAlignment="1">
      <alignment horizontal="right"/>
    </xf>
    <xf numFmtId="164" fontId="0" fillId="0" borderId="0" xfId="42" applyNumberFormat="1" applyFont="1" applyAlignment="1">
      <alignment/>
    </xf>
    <xf numFmtId="37" fontId="0" fillId="0" borderId="0" xfId="0" applyNumberFormat="1" applyFont="1" applyAlignment="1">
      <alignment/>
    </xf>
    <xf numFmtId="43" fontId="0" fillId="0" borderId="0" xfId="42" applyFont="1" applyAlignment="1">
      <alignment/>
    </xf>
    <xf numFmtId="10" fontId="2" fillId="0" borderId="15" xfId="58" applyNumberFormat="1" applyFont="1" applyBorder="1" applyAlignment="1">
      <alignment horizontal="center"/>
    </xf>
    <xf numFmtId="10" fontId="2" fillId="0" borderId="14" xfId="58" applyNumberFormat="1" applyFont="1" applyBorder="1" applyAlignment="1">
      <alignment horizontal="center"/>
    </xf>
    <xf numFmtId="164" fontId="56" fillId="0" borderId="13" xfId="42" applyNumberFormat="1" applyFont="1" applyBorder="1" applyAlignment="1">
      <alignment/>
    </xf>
    <xf numFmtId="164" fontId="7" fillId="0" borderId="0" xfId="42" applyNumberFormat="1" applyFont="1" applyFill="1" applyBorder="1" applyAlignment="1">
      <alignment horizontal="right"/>
    </xf>
    <xf numFmtId="0" fontId="0" fillId="0" borderId="28" xfId="0" applyBorder="1" applyAlignment="1">
      <alignment/>
    </xf>
    <xf numFmtId="0" fontId="2" fillId="0" borderId="28" xfId="0" applyFont="1" applyBorder="1" applyAlignment="1">
      <alignment/>
    </xf>
    <xf numFmtId="10" fontId="2" fillId="0" borderId="28" xfId="58" applyNumberFormat="1" applyFont="1" applyBorder="1" applyAlignment="1">
      <alignment horizontal="center"/>
    </xf>
    <xf numFmtId="37" fontId="0" fillId="0" borderId="0" xfId="0" applyNumberFormat="1" applyFont="1" applyBorder="1" applyAlignment="1">
      <alignment/>
    </xf>
    <xf numFmtId="43" fontId="0" fillId="0" borderId="0" xfId="42" applyFont="1" applyBorder="1" applyAlignment="1">
      <alignment/>
    </xf>
    <xf numFmtId="0" fontId="0" fillId="0" borderId="0" xfId="0" applyBorder="1" applyAlignment="1">
      <alignment/>
    </xf>
    <xf numFmtId="10" fontId="2" fillId="0" borderId="0" xfId="58" applyNumberFormat="1" applyFont="1" applyBorder="1" applyAlignment="1">
      <alignment horizontal="center"/>
    </xf>
    <xf numFmtId="164" fontId="7" fillId="0" borderId="0" xfId="42" applyNumberFormat="1" applyFont="1" applyFill="1" applyBorder="1" applyAlignment="1">
      <alignment horizontal="left"/>
    </xf>
    <xf numFmtId="164" fontId="7" fillId="0" borderId="28" xfId="42" applyNumberFormat="1" applyFont="1" applyBorder="1" applyAlignment="1">
      <alignment horizontal="left"/>
    </xf>
    <xf numFmtId="37" fontId="2" fillId="0" borderId="28" xfId="0" applyNumberFormat="1" applyFont="1" applyBorder="1" applyAlignment="1">
      <alignment/>
    </xf>
    <xf numFmtId="43" fontId="2" fillId="0" borderId="28" xfId="42" applyFont="1" applyBorder="1" applyAlignment="1">
      <alignment/>
    </xf>
    <xf numFmtId="164" fontId="56" fillId="0" borderId="28" xfId="42" applyNumberFormat="1" applyFont="1" applyBorder="1" applyAlignment="1">
      <alignment/>
    </xf>
    <xf numFmtId="0" fontId="2" fillId="0" borderId="0" xfId="0" applyFont="1" applyAlignment="1">
      <alignment/>
    </xf>
    <xf numFmtId="0" fontId="2" fillId="0" borderId="0" xfId="0" applyFont="1" applyBorder="1" applyAlignment="1">
      <alignment/>
    </xf>
    <xf numFmtId="165" fontId="7" fillId="0" borderId="0" xfId="44" applyNumberFormat="1" applyFont="1" applyBorder="1" applyAlignment="1">
      <alignment horizontal="left"/>
    </xf>
    <xf numFmtId="165" fontId="2" fillId="0" borderId="0" xfId="44" applyNumberFormat="1" applyFont="1" applyBorder="1" applyAlignment="1">
      <alignment/>
    </xf>
    <xf numFmtId="165" fontId="56" fillId="0" borderId="0" xfId="44" applyNumberFormat="1" applyFont="1" applyBorder="1" applyAlignment="1">
      <alignment/>
    </xf>
    <xf numFmtId="165" fontId="7" fillId="0" borderId="44" xfId="44" applyNumberFormat="1" applyFont="1" applyBorder="1" applyAlignment="1">
      <alignment horizontal="left"/>
    </xf>
    <xf numFmtId="165" fontId="2" fillId="0" borderId="44" xfId="44" applyNumberFormat="1" applyFont="1" applyBorder="1" applyAlignment="1">
      <alignment/>
    </xf>
    <xf numFmtId="165" fontId="56" fillId="0" borderId="44" xfId="44" applyNumberFormat="1" applyFont="1" applyBorder="1" applyAlignment="1">
      <alignment/>
    </xf>
    <xf numFmtId="10" fontId="7" fillId="0" borderId="44" xfId="58" applyNumberFormat="1" applyFont="1" applyBorder="1" applyAlignment="1">
      <alignment horizontal="right"/>
    </xf>
    <xf numFmtId="0" fontId="57" fillId="0" borderId="0" xfId="0" applyFont="1" applyAlignment="1">
      <alignment/>
    </xf>
    <xf numFmtId="0" fontId="39" fillId="0" borderId="0" xfId="0" applyNumberFormat="1" applyFont="1" applyBorder="1" applyAlignment="1">
      <alignment horizontal="left"/>
    </xf>
    <xf numFmtId="5" fontId="39" fillId="0" borderId="0" xfId="0" applyNumberFormat="1" applyFont="1" applyBorder="1" applyAlignment="1">
      <alignment horizontal="right"/>
    </xf>
    <xf numFmtId="37" fontId="57" fillId="0" borderId="0" xfId="0" applyNumberFormat="1" applyFont="1" applyAlignment="1">
      <alignment/>
    </xf>
    <xf numFmtId="43" fontId="57" fillId="0" borderId="0" xfId="42" applyFont="1" applyAlignment="1">
      <alignment/>
    </xf>
    <xf numFmtId="164" fontId="39" fillId="0" borderId="0" xfId="42" applyNumberFormat="1" applyFont="1" applyBorder="1" applyAlignment="1">
      <alignment horizontal="right"/>
    </xf>
    <xf numFmtId="164" fontId="57" fillId="0" borderId="0" xfId="42" applyNumberFormat="1" applyFont="1" applyAlignment="1">
      <alignment/>
    </xf>
    <xf numFmtId="10" fontId="39" fillId="0" borderId="0" xfId="58" applyNumberFormat="1" applyFont="1" applyBorder="1" applyAlignment="1">
      <alignment horizontal="right"/>
    </xf>
    <xf numFmtId="164" fontId="2" fillId="0" borderId="0" xfId="42" applyNumberFormat="1" applyFont="1" applyBorder="1" applyAlignment="1">
      <alignment/>
    </xf>
    <xf numFmtId="164" fontId="56" fillId="0" borderId="0" xfId="42" applyNumberFormat="1" applyFont="1" applyBorder="1" applyAlignment="1">
      <alignment/>
    </xf>
    <xf numFmtId="0" fontId="56" fillId="0" borderId="13" xfId="0" applyFont="1" applyBorder="1" applyAlignment="1">
      <alignment/>
    </xf>
    <xf numFmtId="165" fontId="4" fillId="0" borderId="0" xfId="44" applyNumberFormat="1" applyFont="1" applyBorder="1" applyAlignment="1">
      <alignment horizontal="left"/>
    </xf>
    <xf numFmtId="165" fontId="0" fillId="0" borderId="0" xfId="44" applyNumberFormat="1" applyFont="1" applyAlignment="1">
      <alignment/>
    </xf>
    <xf numFmtId="165" fontId="55" fillId="0" borderId="0" xfId="44" applyNumberFormat="1" applyFont="1" applyAlignment="1">
      <alignment/>
    </xf>
    <xf numFmtId="165" fontId="0" fillId="0" borderId="0" xfId="44" applyNumberFormat="1" applyFont="1" applyAlignment="1">
      <alignment/>
    </xf>
    <xf numFmtId="165" fontId="7" fillId="0" borderId="15" xfId="44" applyNumberFormat="1" applyFont="1" applyBorder="1" applyAlignment="1">
      <alignment horizontal="right"/>
    </xf>
    <xf numFmtId="165" fontId="0" fillId="0" borderId="15" xfId="44" applyNumberFormat="1" applyFont="1" applyBorder="1" applyAlignment="1">
      <alignment/>
    </xf>
    <xf numFmtId="165" fontId="35" fillId="0" borderId="15" xfId="44" applyNumberFormat="1" applyFont="1" applyBorder="1" applyAlignment="1">
      <alignment horizontal="right"/>
    </xf>
    <xf numFmtId="10" fontId="4" fillId="0" borderId="0" xfId="58" applyNumberFormat="1" applyFont="1" applyBorder="1" applyAlignment="1">
      <alignment horizontal="right" wrapText="1"/>
    </xf>
    <xf numFmtId="10" fontId="7" fillId="0" borderId="0" xfId="58" applyNumberFormat="1" applyFont="1" applyBorder="1" applyAlignment="1">
      <alignment horizontal="right" wrapText="1"/>
    </xf>
    <xf numFmtId="10" fontId="4" fillId="34" borderId="0" xfId="58" applyNumberFormat="1" applyFont="1" applyFill="1" applyBorder="1" applyAlignment="1">
      <alignment horizontal="right" wrapText="1"/>
    </xf>
    <xf numFmtId="10" fontId="4" fillId="0" borderId="0" xfId="58" applyNumberFormat="1" applyFont="1" applyAlignment="1">
      <alignment horizontal="right" wrapText="1"/>
    </xf>
    <xf numFmtId="38" fontId="7" fillId="0" borderId="0" xfId="0" applyNumberFormat="1" applyFont="1" applyFill="1" applyBorder="1" applyAlignment="1">
      <alignment horizontal="right"/>
    </xf>
    <xf numFmtId="0" fontId="51"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right"/>
    </xf>
    <xf numFmtId="5" fontId="58" fillId="0" borderId="0" xfId="0" applyNumberFormat="1" applyFont="1" applyAlignment="1">
      <alignment/>
    </xf>
    <xf numFmtId="5" fontId="58" fillId="0" borderId="0" xfId="0" applyNumberFormat="1" applyFont="1" applyBorder="1" applyAlignment="1">
      <alignment/>
    </xf>
    <xf numFmtId="5" fontId="58" fillId="0" borderId="0" xfId="0" applyNumberFormat="1" applyFont="1" applyAlignment="1">
      <alignment horizontal="right"/>
    </xf>
    <xf numFmtId="38" fontId="58" fillId="0" borderId="0" xfId="0" applyNumberFormat="1" applyFont="1" applyAlignment="1">
      <alignment horizontal="right"/>
    </xf>
    <xf numFmtId="5" fontId="58" fillId="0" borderId="15" xfId="0" applyNumberFormat="1" applyFont="1" applyBorder="1" applyAlignment="1">
      <alignment horizontal="right"/>
    </xf>
    <xf numFmtId="164" fontId="34" fillId="0" borderId="0" xfId="42" applyNumberFormat="1" applyFont="1" applyFill="1" applyBorder="1" applyAlignment="1">
      <alignment horizontal="right"/>
    </xf>
    <xf numFmtId="164" fontId="9" fillId="0" borderId="15" xfId="42" applyNumberFormat="1" applyFont="1" applyBorder="1" applyAlignment="1">
      <alignment/>
    </xf>
    <xf numFmtId="7" fontId="12" fillId="0" borderId="0" xfId="0" applyNumberFormat="1" applyFont="1" applyFill="1" applyBorder="1" applyAlignment="1" quotePrefix="1">
      <alignment horizontal="center"/>
    </xf>
    <xf numFmtId="164" fontId="44" fillId="0" borderId="0" xfId="42" applyNumberFormat="1" applyFont="1" applyBorder="1" applyAlignment="1">
      <alignment/>
    </xf>
    <xf numFmtId="164" fontId="5" fillId="0" borderId="0" xfId="42" applyNumberFormat="1" applyFont="1" applyBorder="1" applyAlignment="1">
      <alignment/>
    </xf>
    <xf numFmtId="164" fontId="9" fillId="0" borderId="0" xfId="42" applyNumberFormat="1" applyFont="1" applyBorder="1" applyAlignment="1">
      <alignment/>
    </xf>
    <xf numFmtId="0" fontId="3" fillId="0" borderId="0" xfId="0" applyFont="1" applyFill="1" applyBorder="1" applyAlignment="1">
      <alignment horizontal="centerContinuous"/>
    </xf>
    <xf numFmtId="0" fontId="5" fillId="0" borderId="0" xfId="0" applyFont="1" applyFill="1" applyBorder="1" applyAlignment="1">
      <alignment/>
    </xf>
    <xf numFmtId="164" fontId="13" fillId="0" borderId="0" xfId="42" applyNumberFormat="1" applyFont="1" applyFill="1" applyBorder="1" applyAlignment="1">
      <alignment horizontal="right"/>
    </xf>
    <xf numFmtId="0" fontId="13" fillId="0" borderId="0" xfId="0" applyFont="1" applyFill="1" applyBorder="1" applyAlignment="1">
      <alignment/>
    </xf>
    <xf numFmtId="0" fontId="9" fillId="0" borderId="0" xfId="0" applyFont="1" applyFill="1" applyBorder="1" applyAlignment="1">
      <alignment horizontal="left" wrapText="1"/>
    </xf>
    <xf numFmtId="0" fontId="13" fillId="0" borderId="0" xfId="0" applyFont="1" applyFill="1" applyBorder="1" applyAlignment="1">
      <alignment horizontal="left" wrapText="1"/>
    </xf>
    <xf numFmtId="43" fontId="13" fillId="0" borderId="0" xfId="0" applyNumberFormat="1" applyFont="1" applyFill="1" applyBorder="1" applyAlignment="1">
      <alignment/>
    </xf>
    <xf numFmtId="164" fontId="13" fillId="0" borderId="0" xfId="0" applyNumberFormat="1" applyFont="1" applyFill="1" applyBorder="1" applyAlignment="1">
      <alignment/>
    </xf>
    <xf numFmtId="0" fontId="13" fillId="0" borderId="0" xfId="0" applyFont="1" applyBorder="1" applyAlignment="1">
      <alignment wrapText="1"/>
    </xf>
    <xf numFmtId="164" fontId="30" fillId="0" borderId="0" xfId="42" applyNumberFormat="1" applyFont="1" applyAlignment="1">
      <alignment/>
    </xf>
    <xf numFmtId="38" fontId="30" fillId="0" borderId="0" xfId="0" applyNumberFormat="1" applyFont="1" applyAlignment="1">
      <alignment/>
    </xf>
    <xf numFmtId="43" fontId="37" fillId="0" borderId="0" xfId="0" applyNumberFormat="1" applyFont="1" applyBorder="1" applyAlignment="1">
      <alignment/>
    </xf>
    <xf numFmtId="172" fontId="37" fillId="0" borderId="0" xfId="42" applyNumberFormat="1" applyFont="1" applyAlignment="1">
      <alignment/>
    </xf>
    <xf numFmtId="172" fontId="37" fillId="0" borderId="0" xfId="42" applyNumberFormat="1" applyFont="1" applyBorder="1" applyAlignment="1">
      <alignment/>
    </xf>
    <xf numFmtId="43" fontId="9" fillId="0" borderId="0" xfId="42" applyFont="1" applyFill="1" applyBorder="1" applyAlignment="1">
      <alignment horizontal="right"/>
    </xf>
    <xf numFmtId="38" fontId="37" fillId="0" borderId="0" xfId="0" applyNumberFormat="1" applyFont="1" applyAlignment="1">
      <alignment/>
    </xf>
    <xf numFmtId="43" fontId="13" fillId="0" borderId="0" xfId="42" applyNumberFormat="1" applyFont="1" applyBorder="1" applyAlignment="1">
      <alignment horizontal="centerContinuous"/>
    </xf>
    <xf numFmtId="43" fontId="13" fillId="0" borderId="36" xfId="42" applyNumberFormat="1" applyFont="1" applyBorder="1" applyAlignment="1">
      <alignment horizontal="centerContinuous"/>
    </xf>
    <xf numFmtId="43" fontId="9" fillId="0" borderId="30" xfId="42" applyNumberFormat="1" applyFont="1" applyBorder="1" applyAlignment="1">
      <alignment horizontal="centerContinuous"/>
    </xf>
    <xf numFmtId="43" fontId="9" fillId="0" borderId="40" xfId="42" applyNumberFormat="1" applyFont="1" applyBorder="1" applyAlignment="1">
      <alignment horizontal="centerContinuous"/>
    </xf>
    <xf numFmtId="43" fontId="13" fillId="0" borderId="0" xfId="42" applyNumberFormat="1" applyFont="1" applyBorder="1" applyAlignment="1">
      <alignment horizontal="right"/>
    </xf>
    <xf numFmtId="43" fontId="30" fillId="0" borderId="0" xfId="42" applyNumberFormat="1" applyFont="1" applyBorder="1" applyAlignment="1">
      <alignment horizontal="right"/>
    </xf>
    <xf numFmtId="43" fontId="13" fillId="0" borderId="0" xfId="42" applyNumberFormat="1" applyFont="1" applyBorder="1" applyAlignment="1">
      <alignment horizontal="left"/>
    </xf>
    <xf numFmtId="43" fontId="13" fillId="0" borderId="0" xfId="42" applyNumberFormat="1" applyFont="1" applyBorder="1" applyAlignment="1">
      <alignment/>
    </xf>
    <xf numFmtId="43" fontId="4" fillId="0" borderId="0" xfId="42" applyNumberFormat="1" applyFont="1" applyBorder="1" applyAlignment="1">
      <alignment/>
    </xf>
    <xf numFmtId="164" fontId="3" fillId="0" borderId="0" xfId="0" applyNumberFormat="1" applyFont="1" applyFill="1" applyBorder="1" applyAlignment="1">
      <alignment horizontal="centerContinuous"/>
    </xf>
    <xf numFmtId="164" fontId="3" fillId="0" borderId="0" xfId="42" applyNumberFormat="1" applyFont="1" applyFill="1" applyBorder="1" applyAlignment="1">
      <alignment horizontal="centerContinuous"/>
    </xf>
    <xf numFmtId="164" fontId="19" fillId="0" borderId="0" xfId="42" applyNumberFormat="1" applyFont="1" applyBorder="1" applyAlignment="1">
      <alignment horizontal="centerContinuous"/>
    </xf>
    <xf numFmtId="164" fontId="19" fillId="0" borderId="0" xfId="42" applyNumberFormat="1" applyFont="1" applyFill="1" applyBorder="1" applyAlignment="1">
      <alignment horizontal="centerContinuous"/>
    </xf>
    <xf numFmtId="164" fontId="13" fillId="0" borderId="0" xfId="42" applyNumberFormat="1" applyFont="1" applyFill="1" applyBorder="1" applyAlignment="1">
      <alignment/>
    </xf>
    <xf numFmtId="164" fontId="13" fillId="0" borderId="0" xfId="0" applyNumberFormat="1" applyFont="1" applyFill="1" applyBorder="1" applyAlignment="1">
      <alignment horizontal="left" wrapText="1"/>
    </xf>
    <xf numFmtId="0" fontId="61" fillId="0" borderId="0" xfId="0" applyFont="1" applyAlignment="1">
      <alignment/>
    </xf>
    <xf numFmtId="5" fontId="61" fillId="0" borderId="0" xfId="42" applyNumberFormat="1" applyFont="1" applyAlignment="1" quotePrefix="1">
      <alignment horizontal="right"/>
    </xf>
    <xf numFmtId="7" fontId="13" fillId="0" borderId="0" xfId="0" applyNumberFormat="1" applyFont="1" applyFill="1" applyBorder="1" applyAlignment="1">
      <alignment/>
    </xf>
    <xf numFmtId="7" fontId="15" fillId="0" borderId="0" xfId="0" applyNumberFormat="1" applyFont="1" applyFill="1" applyBorder="1" applyAlignment="1">
      <alignment horizontal="left" wrapText="1"/>
    </xf>
    <xf numFmtId="7" fontId="9" fillId="0" borderId="0" xfId="45" applyNumberFormat="1" applyFont="1" applyFill="1" applyBorder="1" applyAlignment="1">
      <alignment horizontal="center" wrapText="1"/>
    </xf>
    <xf numFmtId="7" fontId="13" fillId="0" borderId="0" xfId="45" applyNumberFormat="1" applyFont="1" applyFill="1" applyBorder="1" applyAlignment="1">
      <alignment horizontal="right" wrapText="1"/>
    </xf>
    <xf numFmtId="7" fontId="15" fillId="0" borderId="0" xfId="45" applyNumberFormat="1" applyFont="1" applyFill="1" applyBorder="1" applyAlignment="1">
      <alignment horizontal="left" wrapText="1"/>
    </xf>
    <xf numFmtId="7" fontId="13" fillId="0" borderId="0" xfId="45" applyNumberFormat="1" applyFont="1" applyFill="1" applyBorder="1" applyAlignment="1">
      <alignment horizontal="left"/>
    </xf>
    <xf numFmtId="7" fontId="9" fillId="0" borderId="0" xfId="45" applyNumberFormat="1" applyFont="1" applyFill="1" applyBorder="1" applyAlignment="1">
      <alignment horizontal="left"/>
    </xf>
    <xf numFmtId="5" fontId="13" fillId="0" borderId="0" xfId="0" applyNumberFormat="1" applyFont="1" applyAlignment="1">
      <alignment/>
    </xf>
    <xf numFmtId="164" fontId="13" fillId="0" borderId="0" xfId="0" applyNumberFormat="1" applyFont="1" applyAlignment="1">
      <alignment/>
    </xf>
    <xf numFmtId="7" fontId="15" fillId="0" borderId="0" xfId="42" applyNumberFormat="1" applyFont="1" applyBorder="1" applyAlignment="1">
      <alignment/>
    </xf>
    <xf numFmtId="7" fontId="15" fillId="0" borderId="23" xfId="42" applyNumberFormat="1" applyFont="1" applyBorder="1" applyAlignment="1">
      <alignment/>
    </xf>
    <xf numFmtId="7" fontId="15" fillId="0" borderId="0" xfId="0" applyNumberFormat="1" applyFont="1" applyBorder="1" applyAlignment="1">
      <alignment/>
    </xf>
    <xf numFmtId="7" fontId="15" fillId="0" borderId="36" xfId="42" applyNumberFormat="1" applyFont="1" applyBorder="1" applyAlignment="1">
      <alignment/>
    </xf>
    <xf numFmtId="7" fontId="13" fillId="0" borderId="36" xfId="42" applyNumberFormat="1" applyFont="1" applyBorder="1" applyAlignment="1">
      <alignment/>
    </xf>
    <xf numFmtId="7" fontId="13" fillId="0" borderId="24" xfId="42" applyNumberFormat="1" applyFont="1" applyBorder="1" applyAlignment="1">
      <alignment/>
    </xf>
    <xf numFmtId="7" fontId="9" fillId="0" borderId="0" xfId="0" applyNumberFormat="1" applyFont="1" applyBorder="1" applyAlignment="1">
      <alignment/>
    </xf>
    <xf numFmtId="43" fontId="9" fillId="0" borderId="0" xfId="0" applyNumberFormat="1" applyFont="1" applyFill="1" applyBorder="1" applyAlignment="1">
      <alignment horizontal="left" wrapText="1"/>
    </xf>
    <xf numFmtId="43" fontId="15"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164" fontId="15" fillId="0" borderId="0" xfId="42" applyNumberFormat="1" applyFont="1" applyFill="1" applyBorder="1" applyAlignment="1">
      <alignment horizontal="left" wrapText="1"/>
    </xf>
    <xf numFmtId="43" fontId="13" fillId="0" borderId="0" xfId="0" applyNumberFormat="1" applyFont="1" applyFill="1" applyBorder="1" applyAlignment="1">
      <alignment/>
    </xf>
    <xf numFmtId="5" fontId="13" fillId="0" borderId="0" xfId="44" applyNumberFormat="1" applyFont="1" applyFill="1" applyBorder="1" applyAlignment="1">
      <alignment/>
    </xf>
    <xf numFmtId="164" fontId="13" fillId="0" borderId="0" xfId="42" applyNumberFormat="1" applyFont="1" applyFill="1" applyBorder="1" applyAlignment="1">
      <alignment/>
    </xf>
    <xf numFmtId="43" fontId="13" fillId="0" borderId="0" xfId="0" applyNumberFormat="1" applyFont="1" applyFill="1" applyBorder="1" applyAlignment="1">
      <alignment/>
    </xf>
    <xf numFmtId="164" fontId="13" fillId="0" borderId="14" xfId="42" applyNumberFormat="1" applyFont="1" applyFill="1" applyBorder="1" applyAlignment="1">
      <alignment/>
    </xf>
    <xf numFmtId="164" fontId="9" fillId="0" borderId="15" xfId="42" applyNumberFormat="1" applyFont="1" applyFill="1" applyBorder="1" applyAlignment="1">
      <alignment/>
    </xf>
    <xf numFmtId="164" fontId="13" fillId="0" borderId="0" xfId="42" applyNumberFormat="1" applyFont="1" applyFill="1" applyBorder="1" applyAlignment="1">
      <alignment/>
    </xf>
    <xf numFmtId="164" fontId="15" fillId="0" borderId="0" xfId="42" applyNumberFormat="1" applyFont="1" applyFill="1" applyBorder="1" applyAlignment="1">
      <alignment wrapText="1"/>
    </xf>
    <xf numFmtId="43" fontId="13" fillId="0" borderId="0" xfId="0" applyNumberFormat="1" applyFont="1" applyFill="1" applyBorder="1" applyAlignment="1">
      <alignment horizontal="left"/>
    </xf>
    <xf numFmtId="43" fontId="9" fillId="0" borderId="0" xfId="0" applyNumberFormat="1" applyFont="1" applyFill="1" applyBorder="1" applyAlignment="1">
      <alignment/>
    </xf>
    <xf numFmtId="164" fontId="9" fillId="0" borderId="0" xfId="42" applyNumberFormat="1" applyFont="1" applyFill="1" applyBorder="1" applyAlignment="1">
      <alignment/>
    </xf>
    <xf numFmtId="43" fontId="15" fillId="0" borderId="0" xfId="0" applyNumberFormat="1" applyFont="1" applyFill="1" applyBorder="1" applyAlignment="1">
      <alignment/>
    </xf>
    <xf numFmtId="164" fontId="15" fillId="0" borderId="0" xfId="42" applyNumberFormat="1" applyFont="1" applyFill="1" applyBorder="1" applyAlignment="1">
      <alignment/>
    </xf>
    <xf numFmtId="43" fontId="13" fillId="0" borderId="0" xfId="0" applyNumberFormat="1" applyFont="1" applyFill="1" applyBorder="1" applyAlignment="1">
      <alignment horizontal="left" wrapText="1"/>
    </xf>
    <xf numFmtId="43" fontId="9" fillId="0" borderId="0" xfId="42" applyNumberFormat="1" applyFont="1" applyBorder="1" applyAlignment="1">
      <alignment horizontal="right"/>
    </xf>
    <xf numFmtId="7" fontId="6" fillId="0" borderId="0" xfId="0" applyNumberFormat="1" applyFont="1" applyFill="1" applyAlignment="1">
      <alignment horizontal="centerContinuous"/>
    </xf>
    <xf numFmtId="7" fontId="6" fillId="0" borderId="0" xfId="42" applyNumberFormat="1" applyFont="1" applyFill="1" applyAlignment="1">
      <alignment horizontal="centerContinuous"/>
    </xf>
    <xf numFmtId="7" fontId="5" fillId="0" borderId="0" xfId="42" applyNumberFormat="1" applyFont="1" applyAlignment="1">
      <alignment horizontal="centerContinuous"/>
    </xf>
    <xf numFmtId="164" fontId="13" fillId="34" borderId="0" xfId="42" applyNumberFormat="1" applyFont="1" applyFill="1" applyAlignment="1">
      <alignment horizontal="right"/>
    </xf>
    <xf numFmtId="0" fontId="37" fillId="0" borderId="0" xfId="0" applyFont="1" applyAlignment="1">
      <alignment horizontal="center"/>
    </xf>
    <xf numFmtId="0" fontId="31" fillId="0" borderId="0" xfId="0" applyFont="1" applyBorder="1" applyAlignment="1">
      <alignment horizontal="right"/>
    </xf>
    <xf numFmtId="0" fontId="31" fillId="0" borderId="0" xfId="0" applyFont="1" applyAlignment="1">
      <alignment horizontal="center"/>
    </xf>
    <xf numFmtId="38" fontId="37" fillId="0" borderId="0" xfId="0" applyNumberFormat="1" applyFont="1" applyAlignment="1">
      <alignment horizontal="center"/>
    </xf>
    <xf numFmtId="0" fontId="62" fillId="0" borderId="0" xfId="0" applyFont="1" applyAlignment="1">
      <alignment horizontal="right"/>
    </xf>
    <xf numFmtId="5" fontId="37" fillId="0" borderId="0" xfId="0" applyNumberFormat="1" applyFont="1" applyBorder="1" applyAlignment="1">
      <alignment/>
    </xf>
    <xf numFmtId="5" fontId="37" fillId="0" borderId="0" xfId="0" applyNumberFormat="1" applyFont="1" applyBorder="1" applyAlignment="1">
      <alignment horizontal="center"/>
    </xf>
    <xf numFmtId="172" fontId="5" fillId="0" borderId="0" xfId="42" applyNumberFormat="1" applyFont="1" applyAlignment="1">
      <alignment horizontal="centerContinuous"/>
    </xf>
    <xf numFmtId="172" fontId="13" fillId="0" borderId="0" xfId="42" applyNumberFormat="1" applyFont="1" applyAlignment="1">
      <alignment/>
    </xf>
    <xf numFmtId="172" fontId="13" fillId="0" borderId="0" xfId="42" applyNumberFormat="1" applyFont="1" applyFill="1" applyAlignment="1">
      <alignment/>
    </xf>
    <xf numFmtId="164" fontId="13" fillId="0" borderId="0" xfId="42" applyNumberFormat="1" applyFont="1" applyAlignment="1">
      <alignment/>
    </xf>
    <xf numFmtId="164" fontId="13" fillId="0" borderId="14" xfId="42" applyNumberFormat="1" applyFont="1" applyBorder="1" applyAlignment="1">
      <alignment/>
    </xf>
    <xf numFmtId="164" fontId="9" fillId="0" borderId="15" xfId="42" applyNumberFormat="1" applyFont="1" applyBorder="1" applyAlignment="1">
      <alignment/>
    </xf>
    <xf numFmtId="164" fontId="13" fillId="0" borderId="0" xfId="42" applyNumberFormat="1" applyFont="1" applyFill="1" applyAlignment="1">
      <alignment/>
    </xf>
    <xf numFmtId="164" fontId="13" fillId="0" borderId="0" xfId="42" applyNumberFormat="1" applyFont="1" applyBorder="1" applyAlignment="1">
      <alignment/>
    </xf>
    <xf numFmtId="172" fontId="13" fillId="0" borderId="0" xfId="42" applyNumberFormat="1" applyFont="1" applyAlignment="1">
      <alignment/>
    </xf>
    <xf numFmtId="164" fontId="30" fillId="0" borderId="0" xfId="42" applyNumberFormat="1" applyFont="1" applyFill="1" applyAlignment="1">
      <alignment/>
    </xf>
    <xf numFmtId="43" fontId="30" fillId="0" borderId="0" xfId="0" applyNumberFormat="1" applyFont="1" applyBorder="1" applyAlignment="1">
      <alignment/>
    </xf>
    <xf numFmtId="5" fontId="9" fillId="0" borderId="15" xfId="42" applyNumberFormat="1" applyFont="1" applyBorder="1" applyAlignment="1">
      <alignment/>
    </xf>
    <xf numFmtId="172" fontId="9" fillId="0" borderId="0" xfId="42" applyNumberFormat="1" applyFont="1" applyBorder="1" applyAlignment="1">
      <alignment/>
    </xf>
    <xf numFmtId="164" fontId="6" fillId="0" borderId="0" xfId="42" applyNumberFormat="1" applyFont="1" applyFill="1" applyAlignment="1">
      <alignment horizontal="centerContinuous"/>
    </xf>
    <xf numFmtId="164" fontId="6" fillId="0" borderId="0" xfId="42" applyNumberFormat="1" applyFont="1" applyBorder="1" applyAlignment="1">
      <alignment horizontal="centerContinuous"/>
    </xf>
    <xf numFmtId="164" fontId="5" fillId="0" borderId="0" xfId="42" applyNumberFormat="1" applyFont="1" applyBorder="1" applyAlignment="1">
      <alignment horizontal="centerContinuous"/>
    </xf>
    <xf numFmtId="0" fontId="9" fillId="0" borderId="0" xfId="0" applyFont="1" applyBorder="1" applyAlignment="1">
      <alignment horizontal="center" wrapText="1"/>
    </xf>
    <xf numFmtId="164" fontId="13" fillId="0" borderId="0" xfId="42" applyNumberFormat="1" applyFont="1" applyBorder="1" applyAlignment="1">
      <alignment horizontal="left" wrapText="1"/>
    </xf>
    <xf numFmtId="5" fontId="13" fillId="0" borderId="0" xfId="44"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Border="1" applyAlignment="1">
      <alignment horizontal="center" wrapText="1"/>
    </xf>
    <xf numFmtId="164" fontId="29" fillId="0" borderId="0" xfId="42" applyNumberFormat="1" applyFont="1" applyBorder="1" applyAlignment="1">
      <alignment horizontal="right"/>
    </xf>
    <xf numFmtId="38" fontId="30" fillId="0" borderId="0" xfId="0" applyNumberFormat="1" applyFont="1" applyBorder="1" applyAlignment="1">
      <alignment horizontal="right"/>
    </xf>
    <xf numFmtId="164" fontId="13" fillId="0" borderId="0" xfId="0" applyNumberFormat="1" applyFont="1" applyBorder="1" applyAlignment="1">
      <alignment horizontal="right"/>
    </xf>
    <xf numFmtId="164" fontId="14" fillId="38" borderId="0" xfId="42" applyNumberFormat="1" applyFont="1" applyFill="1" applyAlignment="1">
      <alignment horizontal="centerContinuous" wrapText="1"/>
    </xf>
    <xf numFmtId="164" fontId="14" fillId="38" borderId="0" xfId="42" applyNumberFormat="1" applyFont="1" applyFill="1" applyBorder="1" applyAlignment="1">
      <alignment horizontal="centerContinuous" wrapText="1"/>
    </xf>
    <xf numFmtId="164" fontId="14" fillId="38" borderId="0" xfId="42" applyNumberFormat="1" applyFont="1" applyFill="1" applyBorder="1" applyAlignment="1">
      <alignment horizontal="center" wrapText="1"/>
    </xf>
    <xf numFmtId="7" fontId="14" fillId="38" borderId="0" xfId="42" applyNumberFormat="1" applyFont="1" applyFill="1" applyAlignment="1">
      <alignment horizontal="center" wrapText="1"/>
    </xf>
    <xf numFmtId="43" fontId="9" fillId="38" borderId="30" xfId="42" applyNumberFormat="1" applyFont="1" applyFill="1" applyBorder="1" applyAlignment="1" quotePrefix="1">
      <alignment horizontal="centerContinuous"/>
    </xf>
    <xf numFmtId="43" fontId="9" fillId="38" borderId="40" xfId="42" applyNumberFormat="1" applyFont="1" applyFill="1" applyBorder="1" applyAlignment="1" quotePrefix="1">
      <alignment horizontal="centerContinuous" wrapText="1"/>
    </xf>
    <xf numFmtId="43" fontId="13" fillId="38" borderId="23" xfId="42" applyNumberFormat="1" applyFont="1" applyFill="1" applyBorder="1" applyAlignment="1">
      <alignment horizontal="centerContinuous"/>
    </xf>
    <xf numFmtId="43" fontId="9" fillId="38" borderId="31" xfId="42" applyNumberFormat="1" applyFont="1" applyFill="1" applyBorder="1" applyAlignment="1">
      <alignment horizontal="centerContinuous"/>
    </xf>
    <xf numFmtId="43" fontId="9" fillId="38" borderId="13" xfId="42" applyNumberFormat="1" applyFont="1" applyFill="1" applyBorder="1" applyAlignment="1">
      <alignment horizontal="centerContinuous"/>
    </xf>
    <xf numFmtId="43" fontId="9" fillId="38" borderId="24" xfId="42" applyNumberFormat="1" applyFont="1" applyFill="1" applyBorder="1" applyAlignment="1">
      <alignment horizontal="centerContinuous"/>
    </xf>
    <xf numFmtId="164" fontId="20" fillId="38" borderId="0" xfId="42" applyNumberFormat="1" applyFont="1" applyFill="1" applyBorder="1" applyAlignment="1">
      <alignment horizontal="center" wrapText="1"/>
    </xf>
    <xf numFmtId="7" fontId="9" fillId="38" borderId="13" xfId="42" applyNumberFormat="1" applyFont="1" applyFill="1" applyBorder="1" applyAlignment="1">
      <alignment horizontal="centerContinuous"/>
    </xf>
    <xf numFmtId="7" fontId="9" fillId="38" borderId="0" xfId="42" applyNumberFormat="1" applyFont="1" applyFill="1" applyBorder="1" applyAlignment="1">
      <alignment horizontal="centerContinuous"/>
    </xf>
    <xf numFmtId="5" fontId="14" fillId="38" borderId="0" xfId="42" applyNumberFormat="1" applyFont="1" applyFill="1" applyBorder="1" applyAlignment="1">
      <alignment horizontal="center" wrapText="1"/>
    </xf>
    <xf numFmtId="172" fontId="6" fillId="0" borderId="0" xfId="42" applyNumberFormat="1" applyFont="1" applyAlignment="1">
      <alignment horizontal="left"/>
    </xf>
    <xf numFmtId="172" fontId="9" fillId="0" borderId="0" xfId="42" applyNumberFormat="1" applyFont="1" applyAlignment="1">
      <alignment horizontal="left"/>
    </xf>
    <xf numFmtId="172" fontId="13" fillId="0" borderId="0" xfId="42" applyNumberFormat="1" applyFont="1" applyAlignment="1">
      <alignment horizontal="left"/>
    </xf>
    <xf numFmtId="172" fontId="9" fillId="0" borderId="0" xfId="42" applyNumberFormat="1" applyFont="1" applyAlignment="1">
      <alignment horizontal="center"/>
    </xf>
    <xf numFmtId="43" fontId="9" fillId="0" borderId="0" xfId="0" applyNumberFormat="1" applyFont="1" applyBorder="1" applyAlignment="1">
      <alignment horizontal="left"/>
    </xf>
    <xf numFmtId="172" fontId="37" fillId="0" borderId="0" xfId="42" applyNumberFormat="1" applyFont="1" applyAlignment="1">
      <alignment horizontal="left"/>
    </xf>
    <xf numFmtId="164" fontId="9" fillId="0" borderId="15" xfId="42" applyNumberFormat="1" applyFont="1" applyBorder="1" applyAlignment="1">
      <alignment horizontal="center"/>
    </xf>
    <xf numFmtId="38" fontId="62" fillId="0" borderId="0" xfId="0" applyNumberFormat="1" applyFont="1" applyAlignment="1">
      <alignment horizontal="right"/>
    </xf>
    <xf numFmtId="164" fontId="13" fillId="0" borderId="36" xfId="42" applyNumberFormat="1" applyFont="1" applyFill="1" applyBorder="1" applyAlignment="1">
      <alignment horizontal="right"/>
    </xf>
    <xf numFmtId="164" fontId="13" fillId="0" borderId="24" xfId="42" applyNumberFormat="1" applyFont="1" applyFill="1" applyBorder="1" applyAlignment="1">
      <alignment horizontal="right"/>
    </xf>
    <xf numFmtId="5" fontId="9" fillId="0" borderId="24" xfId="42" applyNumberFormat="1" applyFont="1" applyFill="1" applyBorder="1" applyAlignment="1">
      <alignment horizontal="right"/>
    </xf>
    <xf numFmtId="5" fontId="9" fillId="0" borderId="36" xfId="42" applyNumberFormat="1" applyFont="1" applyFill="1" applyBorder="1" applyAlignment="1">
      <alignment horizontal="right"/>
    </xf>
    <xf numFmtId="164" fontId="13" fillId="0" borderId="39" xfId="42" applyNumberFormat="1" applyFont="1" applyFill="1" applyBorder="1" applyAlignment="1">
      <alignment horizontal="right"/>
    </xf>
    <xf numFmtId="43" fontId="13" fillId="0" borderId="0" xfId="0" applyNumberFormat="1" applyFont="1" applyAlignment="1">
      <alignment/>
    </xf>
    <xf numFmtId="37" fontId="13" fillId="0" borderId="0" xfId="42" applyNumberFormat="1" applyFont="1" applyBorder="1" applyAlignment="1">
      <alignment/>
    </xf>
    <xf numFmtId="164" fontId="20" fillId="38" borderId="0" xfId="42" applyNumberFormat="1" applyFont="1" applyFill="1" applyAlignment="1">
      <alignment horizontal="centerContinuous" wrapText="1"/>
    </xf>
    <xf numFmtId="164" fontId="20" fillId="38" borderId="0" xfId="42" applyNumberFormat="1" applyFont="1" applyFill="1" applyBorder="1" applyAlignment="1">
      <alignment horizontal="centerContinuous" wrapText="1"/>
    </xf>
    <xf numFmtId="173" fontId="13" fillId="0" borderId="0" xfId="0" applyNumberFormat="1" applyFont="1" applyBorder="1" applyAlignment="1">
      <alignment horizontal="center"/>
    </xf>
    <xf numFmtId="6" fontId="13" fillId="0" borderId="0" xfId="42" applyNumberFormat="1" applyFont="1" applyFill="1" applyBorder="1" applyAlignment="1">
      <alignment horizontal="right"/>
    </xf>
    <xf numFmtId="38" fontId="13" fillId="0" borderId="0" xfId="42" applyNumberFormat="1" applyFont="1" applyBorder="1" applyAlignment="1">
      <alignment horizontal="right"/>
    </xf>
    <xf numFmtId="6" fontId="9" fillId="0" borderId="15" xfId="42" applyNumberFormat="1" applyFont="1" applyBorder="1" applyAlignment="1">
      <alignment horizontal="right"/>
    </xf>
    <xf numFmtId="38" fontId="13" fillId="0" borderId="0" xfId="42" applyNumberFormat="1" applyFont="1" applyFill="1" applyAlignment="1">
      <alignment horizontal="right"/>
    </xf>
    <xf numFmtId="38" fontId="13" fillId="0" borderId="0" xfId="42" applyNumberFormat="1" applyFont="1" applyAlignment="1">
      <alignment/>
    </xf>
    <xf numFmtId="38" fontId="13" fillId="0" borderId="14" xfId="42" applyNumberFormat="1" applyFont="1" applyBorder="1" applyAlignment="1">
      <alignment/>
    </xf>
    <xf numFmtId="6" fontId="9" fillId="0" borderId="15" xfId="42" applyNumberFormat="1" applyFont="1" applyBorder="1" applyAlignment="1">
      <alignment/>
    </xf>
    <xf numFmtId="38" fontId="13" fillId="0" borderId="14" xfId="42" applyNumberFormat="1" applyFont="1" applyFill="1" applyBorder="1" applyAlignment="1">
      <alignment/>
    </xf>
    <xf numFmtId="38" fontId="13" fillId="0" borderId="0" xfId="42" applyNumberFormat="1" applyFont="1" applyFill="1" applyAlignment="1">
      <alignment/>
    </xf>
    <xf numFmtId="6" fontId="9" fillId="0" borderId="15" xfId="42" applyNumberFormat="1" applyFont="1" applyFill="1" applyBorder="1" applyAlignment="1">
      <alignment horizontal="right"/>
    </xf>
    <xf numFmtId="38" fontId="13" fillId="0" borderId="14" xfId="42" applyNumberFormat="1" applyFont="1" applyFill="1" applyBorder="1" applyAlignment="1">
      <alignment horizontal="right"/>
    </xf>
    <xf numFmtId="38" fontId="13" fillId="0" borderId="13" xfId="42" applyNumberFormat="1" applyFont="1" applyBorder="1" applyAlignment="1">
      <alignment horizontal="right"/>
    </xf>
    <xf numFmtId="38" fontId="13" fillId="0" borderId="36" xfId="42" applyNumberFormat="1" applyFont="1" applyBorder="1" applyAlignment="1">
      <alignment/>
    </xf>
    <xf numFmtId="38" fontId="13" fillId="0" borderId="37" xfId="42" applyNumberFormat="1" applyFont="1" applyBorder="1" applyAlignment="1">
      <alignment/>
    </xf>
    <xf numFmtId="38" fontId="13" fillId="0" borderId="0" xfId="42" applyNumberFormat="1" applyFont="1" applyBorder="1" applyAlignment="1">
      <alignment/>
    </xf>
    <xf numFmtId="38" fontId="13" fillId="0" borderId="31" xfId="42" applyNumberFormat="1" applyFont="1" applyBorder="1" applyAlignment="1">
      <alignment/>
    </xf>
    <xf numFmtId="6" fontId="9" fillId="0" borderId="42" xfId="42" applyNumberFormat="1" applyFont="1" applyBorder="1" applyAlignment="1">
      <alignment/>
    </xf>
    <xf numFmtId="38" fontId="9" fillId="0" borderId="0" xfId="42" applyNumberFormat="1" applyFont="1" applyFill="1" applyBorder="1" applyAlignment="1">
      <alignment horizontal="right"/>
    </xf>
    <xf numFmtId="6" fontId="13" fillId="0" borderId="0" xfId="44" applyNumberFormat="1" applyFont="1" applyFill="1" applyBorder="1" applyAlignment="1">
      <alignment/>
    </xf>
    <xf numFmtId="38" fontId="13" fillId="0" borderId="14" xfId="42" applyNumberFormat="1" applyFont="1" applyFill="1" applyBorder="1" applyAlignment="1">
      <alignment/>
    </xf>
    <xf numFmtId="38" fontId="13" fillId="0" borderId="0" xfId="42" applyNumberFormat="1" applyFont="1" applyFill="1" applyBorder="1" applyAlignment="1">
      <alignment/>
    </xf>
    <xf numFmtId="38" fontId="9" fillId="0" borderId="14" xfId="42" applyNumberFormat="1" applyFont="1" applyFill="1" applyBorder="1" applyAlignment="1">
      <alignment/>
    </xf>
    <xf numFmtId="6" fontId="9" fillId="0" borderId="15" xfId="42" applyNumberFormat="1" applyFont="1" applyFill="1" applyBorder="1" applyAlignment="1">
      <alignment/>
    </xf>
    <xf numFmtId="38" fontId="9" fillId="0" borderId="15" xfId="42" applyNumberFormat="1" applyFont="1" applyFill="1" applyBorder="1" applyAlignment="1">
      <alignment/>
    </xf>
    <xf numFmtId="0" fontId="66" fillId="0" borderId="0" xfId="0" applyFont="1" applyAlignment="1">
      <alignment/>
    </xf>
    <xf numFmtId="5" fontId="66" fillId="0" borderId="0" xfId="42" applyNumberFormat="1" applyFont="1" applyAlignment="1">
      <alignment horizontal="right"/>
    </xf>
    <xf numFmtId="14" fontId="66" fillId="0" borderId="0" xfId="42" applyNumberFormat="1" applyFont="1" applyAlignment="1" quotePrefix="1">
      <alignment horizontal="right"/>
    </xf>
    <xf numFmtId="38" fontId="13" fillId="0" borderId="13" xfId="42" applyNumberFormat="1" applyFont="1" applyBorder="1" applyAlignment="1">
      <alignment/>
    </xf>
    <xf numFmtId="14" fontId="9" fillId="38" borderId="40" xfId="42" applyNumberFormat="1" applyFont="1" applyFill="1" applyBorder="1" applyAlignment="1" quotePrefix="1">
      <alignment horizontal="centerContinuous" wrapText="1"/>
    </xf>
    <xf numFmtId="38" fontId="37" fillId="0" borderId="0" xfId="0" applyNumberFormat="1" applyFont="1" applyAlignment="1">
      <alignment horizontal="right"/>
    </xf>
    <xf numFmtId="5" fontId="37" fillId="0" borderId="0" xfId="0" applyNumberFormat="1" applyFont="1" applyAlignment="1">
      <alignment horizontal="center"/>
    </xf>
    <xf numFmtId="5" fontId="13" fillId="0" borderId="0" xfId="0" applyNumberFormat="1" applyFont="1" applyFill="1" applyBorder="1" applyAlignment="1">
      <alignment/>
    </xf>
    <xf numFmtId="0" fontId="67" fillId="0" borderId="0" xfId="0" applyFont="1" applyAlignment="1">
      <alignment/>
    </xf>
    <xf numFmtId="5" fontId="67" fillId="0" borderId="0" xfId="42" applyNumberFormat="1" applyFont="1" applyAlignment="1">
      <alignment horizontal="right"/>
    </xf>
    <xf numFmtId="174" fontId="67" fillId="0" borderId="0" xfId="42" applyNumberFormat="1" applyFont="1" applyAlignment="1">
      <alignment horizontal="right"/>
    </xf>
    <xf numFmtId="0" fontId="17" fillId="0" borderId="0" xfId="0" applyFont="1" applyBorder="1" applyAlignment="1">
      <alignment horizontal="center"/>
    </xf>
    <xf numFmtId="0" fontId="3" fillId="0" borderId="0" xfId="0" applyFont="1" applyFill="1" applyBorder="1" applyAlignment="1">
      <alignment horizontal="center"/>
    </xf>
    <xf numFmtId="0" fontId="6" fillId="0" borderId="0" xfId="0" applyFont="1" applyBorder="1" applyAlignment="1">
      <alignment horizontal="center"/>
    </xf>
    <xf numFmtId="15" fontId="6" fillId="0" borderId="0" xfId="0" applyNumberFormat="1" applyFont="1" applyBorder="1" applyAlignment="1">
      <alignment horizontal="center"/>
    </xf>
    <xf numFmtId="5" fontId="14" fillId="33" borderId="0" xfId="42" applyNumberFormat="1" applyFont="1" applyFill="1" applyBorder="1" applyAlignment="1">
      <alignment horizontal="center" wrapText="1"/>
    </xf>
    <xf numFmtId="5" fontId="14" fillId="33" borderId="36" xfId="42" applyNumberFormat="1" applyFont="1" applyFill="1" applyBorder="1" applyAlignment="1">
      <alignment horizontal="center" wrapText="1"/>
    </xf>
    <xf numFmtId="7" fontId="10" fillId="0" borderId="30" xfId="0" applyNumberFormat="1" applyFont="1" applyFill="1" applyBorder="1" applyAlignment="1">
      <alignment horizontal="center"/>
    </xf>
    <xf numFmtId="7" fontId="10" fillId="0" borderId="40" xfId="0" applyNumberFormat="1" applyFont="1" applyFill="1" applyBorder="1" applyAlignment="1">
      <alignment horizontal="center"/>
    </xf>
    <xf numFmtId="7" fontId="10" fillId="0" borderId="23" xfId="0" applyNumberFormat="1" applyFont="1" applyFill="1" applyBorder="1" applyAlignment="1">
      <alignment horizontal="center"/>
    </xf>
    <xf numFmtId="7" fontId="12" fillId="0" borderId="29" xfId="0" applyNumberFormat="1" applyFont="1" applyFill="1" applyBorder="1" applyAlignment="1">
      <alignment horizontal="center"/>
    </xf>
    <xf numFmtId="7" fontId="12" fillId="0" borderId="0" xfId="0" applyNumberFormat="1" applyFont="1" applyFill="1" applyBorder="1" applyAlignment="1">
      <alignment horizontal="center"/>
    </xf>
    <xf numFmtId="7" fontId="12" fillId="0" borderId="36" xfId="0" applyNumberFormat="1" applyFont="1" applyFill="1" applyBorder="1" applyAlignment="1">
      <alignment horizontal="center"/>
    </xf>
    <xf numFmtId="7" fontId="12" fillId="0" borderId="29" xfId="0" applyNumberFormat="1" applyFont="1" applyFill="1" applyBorder="1" applyAlignment="1" quotePrefix="1">
      <alignment horizontal="center"/>
    </xf>
    <xf numFmtId="7" fontId="12" fillId="0" borderId="0" xfId="0" applyNumberFormat="1" applyFont="1" applyFill="1" applyBorder="1" applyAlignment="1" quotePrefix="1">
      <alignment horizontal="center"/>
    </xf>
    <xf numFmtId="7" fontId="12" fillId="0" borderId="36" xfId="0" applyNumberFormat="1" applyFont="1" applyFill="1" applyBorder="1" applyAlignment="1" quotePrefix="1">
      <alignment horizontal="center"/>
    </xf>
    <xf numFmtId="7" fontId="3" fillId="0" borderId="29" xfId="0" applyNumberFormat="1" applyFont="1" applyFill="1" applyBorder="1" applyAlignment="1">
      <alignment horizontal="center"/>
    </xf>
    <xf numFmtId="7" fontId="3" fillId="0" borderId="0" xfId="0" applyNumberFormat="1" applyFont="1" applyFill="1" applyBorder="1" applyAlignment="1">
      <alignment horizontal="center"/>
    </xf>
    <xf numFmtId="164" fontId="7" fillId="0" borderId="11" xfId="42" applyNumberFormat="1" applyFont="1" applyBorder="1" applyAlignment="1">
      <alignment horizontal="center"/>
    </xf>
    <xf numFmtId="41" fontId="11" fillId="0" borderId="0" xfId="0" applyNumberFormat="1" applyFont="1" applyBorder="1" applyAlignment="1">
      <alignment horizontal="center"/>
    </xf>
    <xf numFmtId="164" fontId="7" fillId="0" borderId="0" xfId="42" applyNumberFormat="1" applyFont="1" applyBorder="1" applyAlignment="1">
      <alignment horizontal="center"/>
    </xf>
    <xf numFmtId="0" fontId="2" fillId="0" borderId="0" xfId="0" applyFont="1" applyAlignment="1">
      <alignment horizontal="center"/>
    </xf>
    <xf numFmtId="40" fontId="43" fillId="0" borderId="0" xfId="0" applyNumberFormat="1" applyFont="1" applyFill="1" applyBorder="1" applyAlignment="1">
      <alignment horizontal="center"/>
    </xf>
    <xf numFmtId="40" fontId="3" fillId="0" borderId="0" xfId="0" applyNumberFormat="1" applyFont="1" applyFill="1" applyAlignment="1">
      <alignment horizontal="center"/>
    </xf>
    <xf numFmtId="40" fontId="3" fillId="0" borderId="0" xfId="0" applyNumberFormat="1" applyFont="1" applyFill="1" applyBorder="1" applyAlignment="1">
      <alignment horizontal="center"/>
    </xf>
    <xf numFmtId="7" fontId="17" fillId="0" borderId="0" xfId="0" applyNumberFormat="1" applyFont="1" applyFill="1" applyBorder="1" applyAlignment="1">
      <alignment horizontal="center"/>
    </xf>
    <xf numFmtId="7" fontId="6" fillId="0" borderId="0" xfId="0" applyNumberFormat="1" applyFont="1" applyFill="1" applyBorder="1" applyAlignment="1">
      <alignment horizontal="center"/>
    </xf>
    <xf numFmtId="7" fontId="6" fillId="0" borderId="0" xfId="0" applyNumberFormat="1" applyFont="1" applyFill="1" applyBorder="1" applyAlignment="1" quotePrefix="1">
      <alignment horizontal="center"/>
    </xf>
    <xf numFmtId="0" fontId="17" fillId="0" borderId="30" xfId="0" applyFont="1" applyBorder="1" applyAlignment="1">
      <alignment horizontal="center"/>
    </xf>
    <xf numFmtId="0" fontId="17" fillId="0" borderId="40" xfId="0" applyFont="1" applyBorder="1" applyAlignment="1">
      <alignment horizontal="center"/>
    </xf>
    <xf numFmtId="0" fontId="17" fillId="0" borderId="23" xfId="0" applyFont="1" applyBorder="1" applyAlignment="1">
      <alignment horizontal="center"/>
    </xf>
    <xf numFmtId="0" fontId="30" fillId="0" borderId="0" xfId="0" applyFont="1" applyBorder="1" applyAlignment="1">
      <alignment horizontal="left" wrapText="1"/>
    </xf>
    <xf numFmtId="7" fontId="3" fillId="0" borderId="29" xfId="0" applyNumberFormat="1" applyFont="1" applyBorder="1" applyAlignment="1">
      <alignment horizontal="center"/>
    </xf>
    <xf numFmtId="7" fontId="3" fillId="0" borderId="0" xfId="0" applyNumberFormat="1" applyFont="1" applyBorder="1" applyAlignment="1">
      <alignment horizontal="center"/>
    </xf>
    <xf numFmtId="7" fontId="3" fillId="0" borderId="36" xfId="0" applyNumberFormat="1" applyFont="1" applyBorder="1" applyAlignment="1">
      <alignment horizontal="center"/>
    </xf>
    <xf numFmtId="7" fontId="16" fillId="0" borderId="30" xfId="0" applyNumberFormat="1" applyFont="1" applyBorder="1" applyAlignment="1">
      <alignment horizontal="center"/>
    </xf>
    <xf numFmtId="7" fontId="16" fillId="0" borderId="40" xfId="0" applyNumberFormat="1" applyFont="1" applyBorder="1" applyAlignment="1">
      <alignment horizontal="center"/>
    </xf>
    <xf numFmtId="7" fontId="16" fillId="0" borderId="23" xfId="0" applyNumberFormat="1" applyFont="1" applyBorder="1" applyAlignment="1">
      <alignment horizontal="center"/>
    </xf>
    <xf numFmtId="7" fontId="3" fillId="0" borderId="36" xfId="0" applyNumberFormat="1" applyFont="1" applyFill="1" applyBorder="1" applyAlignment="1">
      <alignment horizontal="center"/>
    </xf>
    <xf numFmtId="43" fontId="13" fillId="0" borderId="0" xfId="0" applyNumberFormat="1" applyFont="1" applyBorder="1" applyAlignment="1">
      <alignment horizontal="left" wrapText="1"/>
    </xf>
    <xf numFmtId="0" fontId="13" fillId="0" borderId="0" xfId="0" applyFont="1" applyBorder="1" applyAlignment="1">
      <alignment horizontal="left" wrapText="1"/>
    </xf>
    <xf numFmtId="0" fontId="58" fillId="0" borderId="0" xfId="0" applyFont="1" applyAlignment="1">
      <alignment horizontal="left" vertical="center" wrapText="1"/>
    </xf>
    <xf numFmtId="0" fontId="59" fillId="0" borderId="0" xfId="0" applyFont="1" applyAlignment="1">
      <alignment horizontal="center" vertical="center" wrapText="1"/>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43" fillId="0" borderId="0" xfId="0" applyNumberFormat="1" applyFont="1" applyFill="1" applyBorder="1" applyAlignment="1">
      <alignment horizontal="center"/>
    </xf>
    <xf numFmtId="43" fontId="3" fillId="0" borderId="0" xfId="0" applyNumberFormat="1" applyFont="1" applyFill="1" applyAlignment="1">
      <alignment horizontal="center"/>
    </xf>
    <xf numFmtId="43" fontId="6" fillId="0" borderId="0" xfId="0" applyNumberFormat="1" applyFont="1" applyFill="1" applyBorder="1" applyAlignment="1">
      <alignment horizontal="center"/>
    </xf>
    <xf numFmtId="43" fontId="6" fillId="0" borderId="29" xfId="0" applyNumberFormat="1" applyFont="1" applyBorder="1" applyAlignment="1">
      <alignment horizontal="center"/>
    </xf>
    <xf numFmtId="43" fontId="6" fillId="0" borderId="0" xfId="0" applyNumberFormat="1" applyFont="1" applyBorder="1" applyAlignment="1">
      <alignment horizontal="center"/>
    </xf>
    <xf numFmtId="43" fontId="6" fillId="0" borderId="36" xfId="0" applyNumberFormat="1" applyFont="1" applyBorder="1" applyAlignment="1">
      <alignment horizontal="center"/>
    </xf>
    <xf numFmtId="43" fontId="17" fillId="0" borderId="30" xfId="0" applyNumberFormat="1" applyFont="1" applyBorder="1" applyAlignment="1">
      <alignment horizontal="center"/>
    </xf>
    <xf numFmtId="43" fontId="17" fillId="0" borderId="40" xfId="0" applyNumberFormat="1" applyFont="1" applyBorder="1" applyAlignment="1">
      <alignment horizontal="center"/>
    </xf>
    <xf numFmtId="43" fontId="17" fillId="0" borderId="23" xfId="0" applyNumberFormat="1" applyFont="1" applyBorder="1" applyAlignment="1">
      <alignment horizontal="center"/>
    </xf>
    <xf numFmtId="43" fontId="3" fillId="0" borderId="29"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36" xfId="0" applyNumberFormat="1" applyFont="1" applyFill="1" applyBorder="1" applyAlignment="1">
      <alignment horizontal="center"/>
    </xf>
    <xf numFmtId="0" fontId="37" fillId="0" borderId="0" xfId="0" applyNumberFormat="1" applyFont="1" applyAlignment="1">
      <alignment horizontal="left" vertical="center" wrapText="1"/>
    </xf>
    <xf numFmtId="0" fontId="37" fillId="0" borderId="0" xfId="0" applyNumberFormat="1" applyFont="1" applyAlignment="1">
      <alignment horizontal="center" vertical="center" wrapText="1"/>
    </xf>
    <xf numFmtId="0" fontId="37" fillId="0" borderId="0" xfId="0" applyFont="1" applyAlignment="1">
      <alignment horizontal="left" vertical="center" wrapText="1"/>
    </xf>
    <xf numFmtId="0" fontId="31" fillId="0" borderId="0" xfId="0" applyFont="1" applyAlignment="1">
      <alignment horizontal="center" vertical="center" wrapText="1"/>
    </xf>
    <xf numFmtId="172" fontId="43" fillId="0" borderId="0" xfId="42" applyNumberFormat="1" applyFont="1" applyAlignment="1">
      <alignment horizontal="center"/>
    </xf>
    <xf numFmtId="172" fontId="6" fillId="0" borderId="0" xfId="42" applyNumberFormat="1" applyFont="1" applyAlignment="1">
      <alignment horizontal="center"/>
    </xf>
    <xf numFmtId="7" fontId="3" fillId="0" borderId="0" xfId="0" applyNumberFormat="1" applyFont="1" applyFill="1" applyAlignment="1">
      <alignment horizontal="right"/>
    </xf>
    <xf numFmtId="7" fontId="46" fillId="35" borderId="0" xfId="0" applyNumberFormat="1" applyFont="1" applyFill="1" applyBorder="1" applyAlignment="1" applyProtection="1">
      <alignment horizontal="right"/>
      <protection locked="0"/>
    </xf>
    <xf numFmtId="7" fontId="3" fillId="35" borderId="0" xfId="0" applyNumberFormat="1" applyFont="1" applyFill="1" applyBorder="1" applyAlignment="1" applyProtection="1">
      <alignment horizontal="center"/>
      <protection locked="0"/>
    </xf>
    <xf numFmtId="38" fontId="38" fillId="0" borderId="0" xfId="0" applyNumberFormat="1" applyFont="1" applyBorder="1" applyAlignment="1">
      <alignment horizontal="center"/>
    </xf>
    <xf numFmtId="168" fontId="38" fillId="0" borderId="0" xfId="0" applyNumberFormat="1" applyFont="1" applyBorder="1" applyAlignment="1">
      <alignment horizontal="center"/>
    </xf>
    <xf numFmtId="37" fontId="6" fillId="0" borderId="0" xfId="0" applyNumberFormat="1" applyFont="1" applyBorder="1" applyAlignment="1">
      <alignment horizontal="center"/>
    </xf>
    <xf numFmtId="41" fontId="6" fillId="0" borderId="0" xfId="0" applyNumberFormat="1" applyFont="1" applyBorder="1" applyAlignment="1">
      <alignment horizontal="center"/>
    </xf>
    <xf numFmtId="41" fontId="6" fillId="0" borderId="26" xfId="0" applyNumberFormat="1" applyFont="1" applyBorder="1" applyAlignment="1">
      <alignment horizontal="center"/>
    </xf>
    <xf numFmtId="41" fontId="6" fillId="0" borderId="16" xfId="0" applyNumberFormat="1" applyFont="1" applyBorder="1" applyAlignment="1">
      <alignment horizontal="center"/>
    </xf>
    <xf numFmtId="41" fontId="6" fillId="0" borderId="21" xfId="0" applyNumberFormat="1" applyFont="1" applyBorder="1" applyAlignment="1">
      <alignment horizontal="center"/>
    </xf>
    <xf numFmtId="41" fontId="6" fillId="0" borderId="10" xfId="0" applyNumberFormat="1" applyFont="1" applyBorder="1" applyAlignment="1">
      <alignment horizontal="center"/>
    </xf>
    <xf numFmtId="41" fontId="6" fillId="0" borderId="18" xfId="0" applyNumberFormat="1" applyFont="1" applyBorder="1" applyAlignment="1">
      <alignment horizontal="center"/>
    </xf>
    <xf numFmtId="41" fontId="3" fillId="0" borderId="0" xfId="0" applyNumberFormat="1" applyFont="1" applyFill="1" applyAlignment="1">
      <alignment horizontal="center"/>
    </xf>
    <xf numFmtId="44" fontId="17" fillId="0" borderId="0" xfId="44"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STYLE1" xfId="59"/>
    <cellStyle name="STYLE2" xfId="60"/>
    <cellStyle name="STYLE3" xfId="61"/>
    <cellStyle name="STYLE4" xfId="62"/>
    <cellStyle name="STYLE5" xfId="63"/>
    <cellStyle name="STYLE6" xfId="64"/>
    <cellStyle name="STYLE7"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WordArt 1"/>
        <xdr:cNvSpPr>
          <a:spLocks/>
        </xdr:cNvSpPr>
      </xdr:nvSpPr>
      <xdr:spPr>
        <a:xfrm>
          <a:off x="1362075" y="1009650"/>
          <a:ext cx="1238250" cy="666750"/>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WordArt 1"/>
        <xdr:cNvSpPr>
          <a:spLocks/>
        </xdr:cNvSpPr>
      </xdr:nvSpPr>
      <xdr:spPr>
        <a:xfrm>
          <a:off x="1019175" y="552450"/>
          <a:ext cx="1238250" cy="657225"/>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WordArt 1"/>
        <xdr:cNvSpPr>
          <a:spLocks/>
        </xdr:cNvSpPr>
      </xdr:nvSpPr>
      <xdr:spPr>
        <a:xfrm>
          <a:off x="3724275" y="8181975"/>
          <a:ext cx="1476375" cy="14478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Q09%20Flux%20Analysi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Q09 Trial Balance"/>
      <sheetName val="Unpaid Loss Reserves-13"/>
      <sheetName val="Unpaid Loss Expense Reserves-14"/>
      <sheetName val="Loss Expenses Paid QTD-15"/>
      <sheetName val="Loss Expenses Paid YTD-16"/>
    </sheetNames>
    <sheetDataSet>
      <sheetData sheetId="0">
        <row r="17">
          <cell r="F17">
            <v>81610.91999999993</v>
          </cell>
        </row>
        <row r="21">
          <cell r="F21">
            <v>13591014.9</v>
          </cell>
        </row>
        <row r="24">
          <cell r="F24">
            <v>42677.83</v>
          </cell>
        </row>
        <row r="28">
          <cell r="F28">
            <v>19300.530000000002</v>
          </cell>
        </row>
        <row r="36">
          <cell r="F36">
            <v>39898.36</v>
          </cell>
        </row>
        <row r="40">
          <cell r="F40">
            <v>19138.629999999997</v>
          </cell>
        </row>
        <row r="56">
          <cell r="F56">
            <v>15640.75</v>
          </cell>
        </row>
        <row r="64">
          <cell r="E64">
            <v>-1313645.58</v>
          </cell>
        </row>
        <row r="65">
          <cell r="E65">
            <v>-401729.9</v>
          </cell>
        </row>
        <row r="66">
          <cell r="E66">
            <v>-5045.75</v>
          </cell>
        </row>
        <row r="68">
          <cell r="E68">
            <v>-3777212.11</v>
          </cell>
        </row>
        <row r="69">
          <cell r="E69">
            <v>-1126321.7</v>
          </cell>
        </row>
        <row r="70">
          <cell r="E70">
            <v>-12463.04</v>
          </cell>
        </row>
        <row r="72">
          <cell r="F72">
            <v>-6636418.08</v>
          </cell>
        </row>
        <row r="90">
          <cell r="F90">
            <v>-2209558.85</v>
          </cell>
        </row>
        <row r="101">
          <cell r="F101">
            <v>-159819</v>
          </cell>
        </row>
        <row r="121">
          <cell r="F121">
            <v>-260971.99999999997</v>
          </cell>
        </row>
        <row r="139">
          <cell r="F139">
            <v>-76278.54</v>
          </cell>
        </row>
        <row r="145">
          <cell r="F145">
            <v>-17092.15</v>
          </cell>
        </row>
        <row r="149">
          <cell r="F149">
            <v>-17032.33</v>
          </cell>
        </row>
        <row r="152">
          <cell r="F152">
            <v>-13054.39</v>
          </cell>
        </row>
        <row r="161">
          <cell r="F161">
            <v>-178226.86000000002</v>
          </cell>
        </row>
        <row r="190">
          <cell r="F190">
            <v>-286917.78</v>
          </cell>
        </row>
        <row r="193">
          <cell r="F193">
            <v>-2295924</v>
          </cell>
        </row>
        <row r="196">
          <cell r="F196">
            <v>-1748970</v>
          </cell>
        </row>
        <row r="199">
          <cell r="F199">
            <v>-296291.75</v>
          </cell>
        </row>
        <row r="206">
          <cell r="F206">
            <v>-159361.45</v>
          </cell>
        </row>
        <row r="214">
          <cell r="C214">
            <v>-65224.59</v>
          </cell>
        </row>
        <row r="223">
          <cell r="C223">
            <v>1670</v>
          </cell>
          <cell r="E223">
            <v>1670</v>
          </cell>
        </row>
        <row r="224">
          <cell r="C224">
            <v>524</v>
          </cell>
          <cell r="E224">
            <v>524</v>
          </cell>
        </row>
        <row r="226">
          <cell r="C226">
            <v>1750</v>
          </cell>
          <cell r="E226">
            <v>1750</v>
          </cell>
        </row>
        <row r="227">
          <cell r="C227">
            <v>524</v>
          </cell>
          <cell r="E227">
            <v>524</v>
          </cell>
        </row>
        <row r="229">
          <cell r="C229">
            <v>1974</v>
          </cell>
          <cell r="E229">
            <v>2219</v>
          </cell>
        </row>
        <row r="230">
          <cell r="C230">
            <v>585</v>
          </cell>
          <cell r="E230">
            <v>635</v>
          </cell>
        </row>
        <row r="232">
          <cell r="C232">
            <v>27402</v>
          </cell>
          <cell r="E232">
            <v>45439</v>
          </cell>
        </row>
        <row r="233">
          <cell r="C233">
            <v>10281</v>
          </cell>
          <cell r="E233">
            <v>18229</v>
          </cell>
        </row>
        <row r="234">
          <cell r="C234">
            <v>153</v>
          </cell>
          <cell r="E234">
            <v>278</v>
          </cell>
        </row>
        <row r="236">
          <cell r="C236">
            <v>-2642190</v>
          </cell>
          <cell r="E236">
            <v>-5009168</v>
          </cell>
        </row>
        <row r="237">
          <cell r="C237">
            <v>-800232</v>
          </cell>
          <cell r="E237">
            <v>-1487335</v>
          </cell>
        </row>
        <row r="238">
          <cell r="C238">
            <v>-9437</v>
          </cell>
          <cell r="E238">
            <v>-16293</v>
          </cell>
        </row>
        <row r="268">
          <cell r="D268">
            <v>-53290.44999999998</v>
          </cell>
          <cell r="F268">
            <v>-141578.59999999998</v>
          </cell>
        </row>
        <row r="288">
          <cell r="D288">
            <v>-891.26</v>
          </cell>
          <cell r="F288">
            <v>-64847.79000000001</v>
          </cell>
        </row>
        <row r="290">
          <cell r="E290">
            <v>-1392.79</v>
          </cell>
        </row>
        <row r="292">
          <cell r="D292">
            <v>-6542.32</v>
          </cell>
          <cell r="E292">
            <v>-6542.32</v>
          </cell>
        </row>
        <row r="294">
          <cell r="C294">
            <v>-4062.47</v>
          </cell>
          <cell r="E294">
            <v>-4062.47</v>
          </cell>
        </row>
        <row r="295">
          <cell r="E295">
            <v>-1476.7</v>
          </cell>
        </row>
        <row r="297">
          <cell r="D297">
            <v>-11496.05</v>
          </cell>
          <cell r="F297">
            <v>-78322.06999999999</v>
          </cell>
        </row>
        <row r="410">
          <cell r="D410">
            <v>-219.4</v>
          </cell>
          <cell r="F410">
            <v>-219.4</v>
          </cell>
        </row>
        <row r="413">
          <cell r="D413">
            <v>-227.4</v>
          </cell>
          <cell r="F413">
            <v>-227.4</v>
          </cell>
        </row>
        <row r="416">
          <cell r="D416">
            <v>-255.9</v>
          </cell>
          <cell r="F416">
            <v>-285.4</v>
          </cell>
        </row>
        <row r="420">
          <cell r="D420">
            <v>-3150.5</v>
          </cell>
          <cell r="F420">
            <v>-5522.099999999999</v>
          </cell>
        </row>
        <row r="424">
          <cell r="D424">
            <v>308719</v>
          </cell>
          <cell r="F424">
            <v>576758.85</v>
          </cell>
        </row>
        <row r="426">
          <cell r="D426">
            <v>304865.79999999993</v>
          </cell>
          <cell r="F426">
            <v>570504.55</v>
          </cell>
        </row>
        <row r="429">
          <cell r="D429">
            <v>7438.97</v>
          </cell>
          <cell r="F429">
            <v>22982.94</v>
          </cell>
        </row>
        <row r="431">
          <cell r="D431">
            <v>3300</v>
          </cell>
          <cell r="F431">
            <v>6600</v>
          </cell>
        </row>
        <row r="435">
          <cell r="D435">
            <v>33738.770000000004</v>
          </cell>
          <cell r="F435">
            <v>56713.36</v>
          </cell>
        </row>
        <row r="437">
          <cell r="D437">
            <v>44477.740000000005</v>
          </cell>
          <cell r="F437">
            <v>86296.3</v>
          </cell>
        </row>
        <row r="752">
          <cell r="D752">
            <v>954644.72</v>
          </cell>
          <cell r="F752">
            <v>1954208.0899999994</v>
          </cell>
        </row>
      </sheetData>
      <sheetData sheetId="1">
        <row r="8">
          <cell r="B8">
            <v>0</v>
          </cell>
          <cell r="D8">
            <v>246980.6</v>
          </cell>
        </row>
        <row r="9">
          <cell r="B9">
            <v>0</v>
          </cell>
          <cell r="D9">
            <v>0</v>
          </cell>
        </row>
        <row r="10">
          <cell r="B10">
            <v>0</v>
          </cell>
          <cell r="D10">
            <v>0</v>
          </cell>
        </row>
        <row r="15">
          <cell r="B15">
            <v>0</v>
          </cell>
          <cell r="D15">
            <v>49500</v>
          </cell>
        </row>
        <row r="16">
          <cell r="B16">
            <v>0</v>
          </cell>
          <cell r="D16">
            <v>0</v>
          </cell>
        </row>
        <row r="17">
          <cell r="B17">
            <v>0</v>
          </cell>
          <cell r="D17">
            <v>0</v>
          </cell>
        </row>
        <row r="22">
          <cell r="B22">
            <v>8730.48</v>
          </cell>
          <cell r="D22">
            <v>76855</v>
          </cell>
        </row>
        <row r="23">
          <cell r="B23">
            <v>2669.52</v>
          </cell>
          <cell r="D23">
            <v>23500</v>
          </cell>
        </row>
        <row r="24">
          <cell r="B24">
            <v>0</v>
          </cell>
          <cell r="D24">
            <v>0</v>
          </cell>
        </row>
        <row r="28">
          <cell r="B28">
            <v>72650.42</v>
          </cell>
          <cell r="D28">
            <v>1404814.19</v>
          </cell>
        </row>
        <row r="29">
          <cell r="B29">
            <v>4999.58</v>
          </cell>
          <cell r="D29">
            <v>96675</v>
          </cell>
        </row>
        <row r="30">
          <cell r="B30">
            <v>0</v>
          </cell>
          <cell r="D30">
            <v>0</v>
          </cell>
        </row>
        <row r="35">
          <cell r="B35">
            <v>62660.56</v>
          </cell>
          <cell r="D35">
            <v>275574.06</v>
          </cell>
        </row>
        <row r="36">
          <cell r="B36">
            <v>8108.44</v>
          </cell>
          <cell r="D36">
            <v>35660</v>
          </cell>
        </row>
        <row r="37">
          <cell r="B37">
            <v>0</v>
          </cell>
          <cell r="D37">
            <v>0</v>
          </cell>
        </row>
      </sheetData>
      <sheetData sheetId="2">
        <row r="22">
          <cell r="B22">
            <v>70565.91</v>
          </cell>
          <cell r="C22">
            <v>167746.21</v>
          </cell>
          <cell r="D22">
            <v>35565.57</v>
          </cell>
          <cell r="E22">
            <v>18590.85</v>
          </cell>
          <cell r="F22">
            <v>13229.48</v>
          </cell>
        </row>
        <row r="23">
          <cell r="B23">
            <v>9131.54</v>
          </cell>
          <cell r="C23">
            <v>11543.769999999999</v>
          </cell>
          <cell r="D23">
            <v>10876.210000000001</v>
          </cell>
          <cell r="E23">
            <v>0</v>
          </cell>
          <cell r="F23">
            <v>0</v>
          </cell>
        </row>
        <row r="24">
          <cell r="B24">
            <v>0</v>
          </cell>
          <cell r="C24">
            <v>0</v>
          </cell>
          <cell r="D24">
            <v>0</v>
          </cell>
          <cell r="E24">
            <v>0</v>
          </cell>
          <cell r="F24">
            <v>0</v>
          </cell>
        </row>
      </sheetData>
      <sheetData sheetId="3">
        <row r="9">
          <cell r="E9">
            <v>-6537.81</v>
          </cell>
          <cell r="K9">
            <v>3120.02</v>
          </cell>
        </row>
        <row r="10">
          <cell r="E10">
            <v>0</v>
          </cell>
          <cell r="K10">
            <v>1079.5</v>
          </cell>
        </row>
        <row r="11">
          <cell r="E11">
            <v>0</v>
          </cell>
          <cell r="K11">
            <v>0</v>
          </cell>
        </row>
        <row r="12">
          <cell r="C12">
            <v>4568.83</v>
          </cell>
          <cell r="I12">
            <v>-369.31</v>
          </cell>
        </row>
        <row r="15">
          <cell r="E15">
            <v>115777.19</v>
          </cell>
          <cell r="K15">
            <v>11555.32</v>
          </cell>
        </row>
        <row r="16">
          <cell r="E16">
            <v>0</v>
          </cell>
          <cell r="K16">
            <v>0</v>
          </cell>
        </row>
        <row r="17">
          <cell r="E17">
            <v>0</v>
          </cell>
          <cell r="K17">
            <v>0</v>
          </cell>
        </row>
        <row r="18">
          <cell r="C18">
            <v>5015.29</v>
          </cell>
          <cell r="I18">
            <v>6540.03</v>
          </cell>
        </row>
        <row r="21">
          <cell r="E21">
            <v>9924.4</v>
          </cell>
          <cell r="K21">
            <v>13086.01</v>
          </cell>
        </row>
        <row r="22">
          <cell r="E22">
            <v>10947.54</v>
          </cell>
          <cell r="K22">
            <v>4517.13</v>
          </cell>
        </row>
        <row r="23">
          <cell r="E23">
            <v>0</v>
          </cell>
          <cell r="K23">
            <v>0</v>
          </cell>
        </row>
        <row r="24">
          <cell r="C24">
            <v>16424.13</v>
          </cell>
          <cell r="I24">
            <v>1179.01</v>
          </cell>
        </row>
        <row r="27">
          <cell r="E27">
            <v>1429245.49</v>
          </cell>
          <cell r="K27">
            <v>141718.66</v>
          </cell>
        </row>
        <row r="28">
          <cell r="E28">
            <v>142417.64</v>
          </cell>
          <cell r="K28">
            <v>53842.56</v>
          </cell>
        </row>
        <row r="29">
          <cell r="E29">
            <v>0</v>
          </cell>
          <cell r="K29">
            <v>0</v>
          </cell>
        </row>
        <row r="30">
          <cell r="C30">
            <v>106782.07</v>
          </cell>
          <cell r="I30">
            <v>88780.15</v>
          </cell>
        </row>
        <row r="33">
          <cell r="E33">
            <v>692520.02</v>
          </cell>
          <cell r="K33">
            <v>51488.689999999995</v>
          </cell>
        </row>
        <row r="34">
          <cell r="E34">
            <v>28426.82</v>
          </cell>
          <cell r="K34">
            <v>13223.08</v>
          </cell>
        </row>
        <row r="35">
          <cell r="E35">
            <v>0</v>
          </cell>
          <cell r="K35">
            <v>125</v>
          </cell>
        </row>
        <row r="36">
          <cell r="C36">
            <v>24111.9</v>
          </cell>
          <cell r="I36">
            <v>40724.869999999995</v>
          </cell>
        </row>
        <row r="42">
          <cell r="C42">
            <v>156902.22</v>
          </cell>
          <cell r="E42">
            <v>2422721.29</v>
          </cell>
          <cell r="I42">
            <v>136854.75</v>
          </cell>
        </row>
      </sheetData>
      <sheetData sheetId="4">
        <row r="9">
          <cell r="E9">
            <v>-6537.81</v>
          </cell>
          <cell r="K9">
            <v>18468.629999999997</v>
          </cell>
        </row>
        <row r="10">
          <cell r="E10">
            <v>0</v>
          </cell>
          <cell r="K10">
            <v>1079.5</v>
          </cell>
        </row>
        <row r="11">
          <cell r="E11">
            <v>0</v>
          </cell>
          <cell r="K11">
            <v>0</v>
          </cell>
        </row>
        <row r="12">
          <cell r="C12">
            <v>19918.44</v>
          </cell>
          <cell r="I12">
            <v>-369.31</v>
          </cell>
        </row>
        <row r="15">
          <cell r="E15">
            <v>26049.88</v>
          </cell>
          <cell r="K15">
            <v>15254.059999999998</v>
          </cell>
        </row>
        <row r="16">
          <cell r="K16">
            <v>0</v>
          </cell>
        </row>
        <row r="17">
          <cell r="E17">
            <v>0</v>
          </cell>
          <cell r="K17">
            <v>0</v>
          </cell>
        </row>
        <row r="18">
          <cell r="C18">
            <v>19204.6</v>
          </cell>
          <cell r="I18">
            <v>-3950.54</v>
          </cell>
        </row>
        <row r="21">
          <cell r="E21">
            <v>254176.83</v>
          </cell>
          <cell r="K21">
            <v>60361.270000000004</v>
          </cell>
        </row>
        <row r="22">
          <cell r="E22">
            <v>38341.02</v>
          </cell>
          <cell r="K22">
            <v>11159.38</v>
          </cell>
        </row>
        <row r="23">
          <cell r="E23">
            <v>0</v>
          </cell>
          <cell r="K23">
            <v>0</v>
          </cell>
        </row>
        <row r="24">
          <cell r="C24">
            <v>38580.86</v>
          </cell>
          <cell r="I24">
            <v>32938.79</v>
          </cell>
        </row>
        <row r="27">
          <cell r="E27">
            <v>2469117.43</v>
          </cell>
          <cell r="K27">
            <v>318551.45</v>
          </cell>
        </row>
        <row r="28">
          <cell r="E28">
            <v>271682.58</v>
          </cell>
          <cell r="K28">
            <v>102643.64000000001</v>
          </cell>
        </row>
        <row r="29">
          <cell r="E29">
            <v>0</v>
          </cell>
          <cell r="K29">
            <v>0</v>
          </cell>
        </row>
        <row r="30">
          <cell r="C30">
            <v>195724.04</v>
          </cell>
          <cell r="I30">
            <v>225471.05000000002</v>
          </cell>
        </row>
        <row r="33">
          <cell r="E33">
            <v>712520.02</v>
          </cell>
          <cell r="K33">
            <v>54227.01</v>
          </cell>
        </row>
        <row r="34">
          <cell r="E34">
            <v>30477.16</v>
          </cell>
          <cell r="K34">
            <v>14192.8</v>
          </cell>
        </row>
        <row r="35">
          <cell r="E35">
            <v>0</v>
          </cell>
          <cell r="K35">
            <v>125</v>
          </cell>
        </row>
        <row r="36">
          <cell r="C36">
            <v>25241.9</v>
          </cell>
          <cell r="I36">
            <v>43302.91</v>
          </cell>
        </row>
        <row r="42">
          <cell r="C42">
            <v>298669.83999999997</v>
          </cell>
          <cell r="E42">
            <v>3795827.1100000003</v>
          </cell>
          <cell r="I42">
            <v>297392.89999999997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zoomScalePageLayoutView="0"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42" t="s">
        <v>320</v>
      </c>
      <c r="B1" s="942"/>
      <c r="C1" s="942"/>
      <c r="D1" s="942"/>
      <c r="E1" s="942"/>
      <c r="F1" s="942"/>
      <c r="G1" s="942"/>
      <c r="H1" s="942"/>
      <c r="I1" s="942"/>
    </row>
    <row r="2" spans="1:7" s="20" customFormat="1" ht="18.75">
      <c r="A2" s="943"/>
      <c r="B2" s="943"/>
      <c r="C2" s="943"/>
      <c r="D2" s="943"/>
      <c r="E2" s="943"/>
      <c r="F2" s="370"/>
      <c r="G2" s="370"/>
    </row>
    <row r="3" spans="1:9" s="21" customFormat="1" ht="15">
      <c r="A3" s="944" t="s">
        <v>338</v>
      </c>
      <c r="B3" s="944"/>
      <c r="C3" s="944"/>
      <c r="D3" s="944"/>
      <c r="E3" s="944"/>
      <c r="F3" s="944"/>
      <c r="G3" s="944"/>
      <c r="H3" s="944"/>
      <c r="I3" s="944"/>
    </row>
    <row r="4" spans="1:9" s="21" customFormat="1" ht="15">
      <c r="A4" s="945" t="s">
        <v>220</v>
      </c>
      <c r="B4" s="945"/>
      <c r="C4" s="945"/>
      <c r="D4" s="945"/>
      <c r="E4" s="945"/>
      <c r="F4" s="945"/>
      <c r="G4" s="945"/>
      <c r="H4" s="945"/>
      <c r="I4" s="945"/>
    </row>
    <row r="5" spans="1:9" s="21" customFormat="1" ht="15">
      <c r="A5" s="634"/>
      <c r="B5" s="635"/>
      <c r="C5" s="635"/>
      <c r="D5" s="635"/>
      <c r="E5" s="635"/>
      <c r="F5" s="337"/>
      <c r="G5" s="337"/>
      <c r="H5" s="337"/>
      <c r="I5" s="337"/>
    </row>
    <row r="6" spans="1:7" ht="14.25">
      <c r="A6" s="22"/>
      <c r="B6" s="342"/>
      <c r="C6" s="342"/>
      <c r="F6" s="342"/>
      <c r="G6" s="342"/>
    </row>
    <row r="7" spans="2:9" ht="15">
      <c r="B7" s="636" t="s">
        <v>292</v>
      </c>
      <c r="C7" s="636"/>
      <c r="D7" s="636" t="s">
        <v>88</v>
      </c>
      <c r="E7" s="636"/>
      <c r="F7" s="636" t="s">
        <v>292</v>
      </c>
      <c r="G7" s="636"/>
      <c r="H7" s="636" t="s">
        <v>88</v>
      </c>
      <c r="I7" s="636"/>
    </row>
    <row r="8" spans="1:9" ht="15">
      <c r="A8" s="637"/>
      <c r="B8" s="508" t="s">
        <v>293</v>
      </c>
      <c r="C8" s="508"/>
      <c r="D8" s="508" t="s">
        <v>204</v>
      </c>
      <c r="E8" s="508"/>
      <c r="F8" s="508" t="s">
        <v>294</v>
      </c>
      <c r="G8" s="508"/>
      <c r="H8" s="508" t="s">
        <v>205</v>
      </c>
      <c r="I8" s="508"/>
    </row>
    <row r="9" spans="2:9" ht="15">
      <c r="B9" s="638"/>
      <c r="C9" s="639"/>
      <c r="D9" s="638"/>
      <c r="E9" s="640"/>
      <c r="F9" s="638"/>
      <c r="G9" s="640"/>
      <c r="H9" s="638"/>
      <c r="I9" s="640"/>
    </row>
    <row r="10" spans="1:9" ht="15">
      <c r="A10" s="637" t="s">
        <v>340</v>
      </c>
      <c r="B10" s="638"/>
      <c r="C10" s="640"/>
      <c r="D10" s="638"/>
      <c r="E10" s="640"/>
      <c r="F10" s="638"/>
      <c r="G10" s="640"/>
      <c r="H10" s="638"/>
      <c r="I10" s="640"/>
    </row>
    <row r="11" spans="1:9" ht="15">
      <c r="A11" s="637"/>
      <c r="B11" s="638"/>
      <c r="C11" s="640"/>
      <c r="D11" s="638"/>
      <c r="E11" s="640"/>
      <c r="F11" s="638"/>
      <c r="G11" s="640"/>
      <c r="H11" s="638"/>
      <c r="I11" s="640"/>
    </row>
    <row r="12" spans="1:9" ht="15">
      <c r="A12" s="18" t="s">
        <v>341</v>
      </c>
      <c r="C12" s="561">
        <f>'[1]Earned Incurred QTD-p5'!D16</f>
        <v>4977049</v>
      </c>
      <c r="D12" s="493"/>
      <c r="E12" s="561">
        <f>'[1]Earned Incurred YTD-p6'!D16</f>
        <v>14052348</v>
      </c>
      <c r="G12" s="561">
        <f>+'[2]Income Statement (pg 2)'!$C$12</f>
        <v>4336172</v>
      </c>
      <c r="I12" s="561">
        <f>+'[2]Income Statement (pg 2)'!$E$12</f>
        <v>12605846</v>
      </c>
    </row>
    <row r="13" spans="1:9" ht="15">
      <c r="A13" s="637"/>
      <c r="C13" s="489"/>
      <c r="E13" s="489"/>
      <c r="G13" s="489"/>
      <c r="I13" s="489"/>
    </row>
    <row r="14" spans="1:9" ht="15">
      <c r="A14" s="637" t="s">
        <v>342</v>
      </c>
      <c r="C14" s="489"/>
      <c r="E14" s="489"/>
      <c r="G14" s="489"/>
      <c r="I14" s="489"/>
    </row>
    <row r="15" spans="1:9" ht="14.25">
      <c r="A15" s="18" t="s">
        <v>343</v>
      </c>
      <c r="B15" s="127">
        <f>'[1]Earned Incurred QTD-p5'!D23</f>
        <v>3008827.2250000006</v>
      </c>
      <c r="C15" s="489"/>
      <c r="D15" s="127">
        <f>'[1]Earned Incurred YTD-p6'!D23</f>
        <v>10083053.040000003</v>
      </c>
      <c r="E15" s="489"/>
      <c r="F15" s="127">
        <f>+'[2]Income Statement (pg 2)'!$B$15</f>
        <v>3666364.3599999994</v>
      </c>
      <c r="G15" s="489"/>
      <c r="H15" s="127">
        <f>+'[2]Income Statement (pg 2)'!$D$15</f>
        <v>10954919.14</v>
      </c>
      <c r="I15" s="489"/>
    </row>
    <row r="16" spans="1:9" ht="14.25">
      <c r="A16" s="18" t="s">
        <v>344</v>
      </c>
      <c r="B16" s="127">
        <f>'[1]Earned Incurred QTD-p5'!D30</f>
        <v>391930.13999999996</v>
      </c>
      <c r="C16" s="489"/>
      <c r="D16" s="127">
        <f>'[1]Earned Incurred YTD-p6'!D30</f>
        <v>1203762.75</v>
      </c>
      <c r="E16" s="489"/>
      <c r="F16" s="127">
        <f>+'[2]Income Statement (pg 2)'!$B$16</f>
        <v>411228.76</v>
      </c>
      <c r="G16" s="489"/>
      <c r="H16" s="127">
        <f>+'[2]Income Statement (pg 2)'!$D$16</f>
        <v>1134850.71</v>
      </c>
      <c r="I16" s="489"/>
    </row>
    <row r="17" spans="1:9" ht="14.25">
      <c r="A17" s="18" t="s">
        <v>345</v>
      </c>
      <c r="B17" s="127">
        <f>'[1]Earned Incurred QTD-p5'!D37</f>
        <v>502893.80000000005</v>
      </c>
      <c r="C17" s="489"/>
      <c r="D17" s="127">
        <f>+'[1]Earned Incurred YTD-p6'!D37</f>
        <v>1421253.0999999999</v>
      </c>
      <c r="E17" s="489"/>
      <c r="F17" s="127">
        <f>+'[2]Income Statement (pg 2)'!$B$17:$B$17</f>
        <v>404349.55000000005</v>
      </c>
      <c r="G17" s="489"/>
      <c r="H17" s="127">
        <f>+'[2]Income Statement (pg 2)'!$D$17</f>
        <v>1195688.7</v>
      </c>
      <c r="I17" s="489"/>
    </row>
    <row r="18" spans="1:9" ht="14.25">
      <c r="A18" s="18" t="s">
        <v>346</v>
      </c>
      <c r="B18" s="127">
        <f>'[1]Earned Incurred QTD-p5'!C39+'[1]Earned Incurred QTD-p5'!C38+'[1]Earned Incurred QTD-p5'!C43</f>
        <v>1078138.9600000002</v>
      </c>
      <c r="C18" s="489"/>
      <c r="D18" s="127">
        <f>'[1]Earned Incurred YTD-p6'!C38+'[1]Earned Incurred YTD-p6'!C39+'[1]Earned Incurred YTD-p6'!C43</f>
        <v>3156457.869999998</v>
      </c>
      <c r="E18" s="489"/>
      <c r="F18" s="127">
        <f>+'[2]Income Statement (pg 2)'!$B$18</f>
        <v>859175.9900000002</v>
      </c>
      <c r="G18" s="489"/>
      <c r="H18" s="127">
        <f>+'[2]Income Statement (pg 2)'!$D$18</f>
        <v>2663959.2600000016</v>
      </c>
      <c r="I18" s="489"/>
    </row>
    <row r="19" spans="1:9" ht="14.25">
      <c r="A19" s="18" t="s">
        <v>168</v>
      </c>
      <c r="B19" s="145">
        <f>'[1]Earned Incurred QTD-p5'!D36</f>
        <v>19861.65</v>
      </c>
      <c r="C19" s="489"/>
      <c r="D19" s="145">
        <f>'[1]Earned Incurred YTD-p6'!D36</f>
        <v>77491.65</v>
      </c>
      <c r="E19" s="489"/>
      <c r="F19" s="145">
        <f>+'[2]Income Statement (pg 2)'!$B$19</f>
        <v>11580</v>
      </c>
      <c r="G19" s="489"/>
      <c r="H19" s="145">
        <f>+'[2]Income Statement (pg 2)'!$D$19</f>
        <v>32840.51</v>
      </c>
      <c r="I19" s="489"/>
    </row>
    <row r="20" spans="1:9" ht="14.25">
      <c r="A20" s="18" t="s">
        <v>347</v>
      </c>
      <c r="C20" s="488">
        <f>SUM(B15:B19)</f>
        <v>5001651.775000001</v>
      </c>
      <c r="E20" s="488">
        <f>SUM(D15:D19)</f>
        <v>15942018.41</v>
      </c>
      <c r="G20" s="488">
        <f>SUM(F15:F19)</f>
        <v>5352698.659999999</v>
      </c>
      <c r="I20" s="488">
        <f>SUM(H15:H19)</f>
        <v>15982258.320000002</v>
      </c>
    </row>
    <row r="21" spans="3:9" ht="14.25">
      <c r="C21" s="489"/>
      <c r="E21" s="489"/>
      <c r="G21" s="489"/>
      <c r="I21" s="489"/>
    </row>
    <row r="22" spans="1:9" ht="14.25">
      <c r="A22" s="18" t="s">
        <v>451</v>
      </c>
      <c r="C22" s="488">
        <f>C12-C20</f>
        <v>-24602.775000001304</v>
      </c>
      <c r="E22" s="488">
        <f>E12-E20</f>
        <v>-1889670.4100000001</v>
      </c>
      <c r="G22" s="488">
        <f>G12-G20</f>
        <v>-1016526.6599999992</v>
      </c>
      <c r="I22" s="488">
        <f>I12-I20</f>
        <v>-3376412.320000002</v>
      </c>
    </row>
    <row r="23" spans="1:9" ht="15">
      <c r="A23" s="637"/>
      <c r="C23" s="489"/>
      <c r="E23" s="489"/>
      <c r="G23" s="489"/>
      <c r="I23" s="489"/>
    </row>
    <row r="24" spans="1:9" ht="15">
      <c r="A24" s="637" t="s">
        <v>348</v>
      </c>
      <c r="C24" s="489"/>
      <c r="E24" s="489"/>
      <c r="G24" s="489"/>
      <c r="I24" s="489"/>
    </row>
    <row r="25" spans="1:9" ht="14.25">
      <c r="A25" s="18" t="s">
        <v>349</v>
      </c>
      <c r="C25" s="489">
        <f>'[1]Earned Incurred QTD-p5'!D52</f>
        <v>26859.149999999994</v>
      </c>
      <c r="E25" s="489">
        <f>'[1]Earned Incurred YTD-p6'!D52</f>
        <v>88395.67</v>
      </c>
      <c r="G25" s="489">
        <f>+'[2]Income Statement (pg 2)'!$C$25</f>
        <v>52310.600000000006</v>
      </c>
      <c r="I25" s="489">
        <f>+'[2]Income Statement (pg 2)'!$E$25</f>
        <v>170480.6</v>
      </c>
    </row>
    <row r="26" spans="3:9" ht="14.25">
      <c r="C26" s="489"/>
      <c r="E26" s="489"/>
      <c r="G26" s="489"/>
      <c r="I26" s="489"/>
    </row>
    <row r="27" spans="1:9" ht="15" thickBot="1">
      <c r="A27" s="18" t="s">
        <v>452</v>
      </c>
      <c r="C27" s="490">
        <f>C22+C25</f>
        <v>2256.3749999986903</v>
      </c>
      <c r="E27" s="490">
        <f>E22+E25</f>
        <v>-1801274.7400000002</v>
      </c>
      <c r="G27" s="490">
        <f>G22+G25</f>
        <v>-964216.0599999992</v>
      </c>
      <c r="I27" s="490">
        <f>I22+I25</f>
        <v>-3205931.720000002</v>
      </c>
    </row>
    <row r="28" spans="1:9" ht="15">
      <c r="A28" s="637"/>
      <c r="C28" s="641"/>
      <c r="E28" s="489"/>
      <c r="G28" s="641"/>
      <c r="I28" s="489"/>
    </row>
    <row r="29" spans="1:9" ht="15">
      <c r="A29" s="637" t="s">
        <v>336</v>
      </c>
      <c r="C29" s="489"/>
      <c r="E29" s="489"/>
      <c r="G29" s="489"/>
      <c r="I29" s="489"/>
    </row>
    <row r="30" spans="1:9" ht="14.25">
      <c r="A30" s="18" t="s">
        <v>350</v>
      </c>
      <c r="C30" s="489">
        <f>'[3]Balance Sheet-p1'!$E$45</f>
        <v>-11338276.419999996</v>
      </c>
      <c r="E30" s="489">
        <f>'[3]Income Statement-p2'!$E$30</f>
        <v>-9552178.5</v>
      </c>
      <c r="G30" s="489">
        <f>+'[2]Income Statement (pg 2)'!$C$30</f>
        <v>-7427828.95</v>
      </c>
      <c r="I30" s="489">
        <v>-5217179.38</v>
      </c>
    </row>
    <row r="31" spans="1:9" ht="14.25">
      <c r="A31" s="18" t="s">
        <v>453</v>
      </c>
      <c r="B31" s="127">
        <f>C27</f>
        <v>2256.3749999986903</v>
      </c>
      <c r="C31" s="489"/>
      <c r="D31" s="127">
        <f>+'[1]Earned Incurred YTD-p6'!D54</f>
        <v>-1801274.7400000002</v>
      </c>
      <c r="E31" s="489"/>
      <c r="F31" s="127">
        <f>G27</f>
        <v>-964216.0599999992</v>
      </c>
      <c r="G31" s="489"/>
      <c r="H31" s="127">
        <f>I27</f>
        <v>-3205931.720000002</v>
      </c>
      <c r="I31" s="489"/>
    </row>
    <row r="32" spans="1:9" ht="14.25" customHeight="1">
      <c r="A32" s="18" t="s">
        <v>351</v>
      </c>
      <c r="B32" s="145">
        <v>15024.93</v>
      </c>
      <c r="D32" s="127">
        <v>32458.12</v>
      </c>
      <c r="E32" s="489"/>
      <c r="F32" s="491">
        <f>+'[2]Income Statement (pg 2)'!$B$32</f>
        <v>16655</v>
      </c>
      <c r="G32" s="489"/>
      <c r="H32" s="127">
        <f>+'[2]Income Statement (pg 2)'!$D$32</f>
        <v>-287408.34</v>
      </c>
      <c r="I32" s="489"/>
    </row>
    <row r="33" spans="1:9" ht="14.25">
      <c r="A33" s="18" t="s">
        <v>140</v>
      </c>
      <c r="B33" s="127">
        <v>0</v>
      </c>
      <c r="D33" s="127">
        <f>-40790-4979.98-26-1710</f>
        <v>-47505.979999999996</v>
      </c>
      <c r="E33" s="489"/>
      <c r="F33" s="127">
        <v>0</v>
      </c>
      <c r="H33" s="492">
        <f>+'[2]Income Statement (pg 2)'!$D$33</f>
        <v>-25.57</v>
      </c>
      <c r="I33" s="489"/>
    </row>
    <row r="34" spans="1:9" ht="14.25">
      <c r="A34" s="18" t="s">
        <v>141</v>
      </c>
      <c r="B34" s="145">
        <v>0</v>
      </c>
      <c r="C34" s="489"/>
      <c r="D34" s="145">
        <v>0</v>
      </c>
      <c r="E34" s="489"/>
      <c r="F34" s="145" t="e">
        <f>+'[4]TB09-30-02(Final)'!I931</f>
        <v>#REF!</v>
      </c>
      <c r="G34" s="489"/>
      <c r="H34" s="145">
        <f>+'[2]Income Statement (pg 2)'!$D$34</f>
        <v>335155</v>
      </c>
      <c r="I34" s="489"/>
    </row>
    <row r="35" spans="1:9" ht="14.25">
      <c r="A35" s="18" t="s">
        <v>352</v>
      </c>
      <c r="C35" s="489">
        <f>SUM(B31:B32)</f>
        <v>17281.30499999869</v>
      </c>
      <c r="E35" s="489">
        <f>SUM(D31:D32)</f>
        <v>-1768816.62</v>
      </c>
      <c r="G35" s="489">
        <f>SUM(F31:F32)</f>
        <v>-947561.0599999992</v>
      </c>
      <c r="I35" s="489">
        <f>SUM(H31:H34)</f>
        <v>-3158210.6300000018</v>
      </c>
    </row>
    <row r="36" spans="3:9" ht="14.25">
      <c r="C36" s="489"/>
      <c r="E36" s="489"/>
      <c r="G36" s="489"/>
      <c r="I36" s="489"/>
    </row>
    <row r="37" spans="1:9" ht="15.75" thickBot="1">
      <c r="A37" s="117" t="s">
        <v>295</v>
      </c>
      <c r="C37" s="557">
        <f>C30+C35</f>
        <v>-11320995.114999998</v>
      </c>
      <c r="D37" s="493"/>
      <c r="E37" s="557">
        <f>E30+E35</f>
        <v>-11320995.120000001</v>
      </c>
      <c r="G37" s="557">
        <f>G30+G35</f>
        <v>-8375390.01</v>
      </c>
      <c r="H37" s="493"/>
      <c r="I37" s="557">
        <f>I30+I35</f>
        <v>-8375390.010000002</v>
      </c>
    </row>
    <row r="38" spans="2:9" s="14" customFormat="1" ht="15" thickTop="1">
      <c r="B38" s="256"/>
      <c r="C38" s="256"/>
      <c r="D38" s="347"/>
      <c r="E38" s="256"/>
      <c r="F38" s="127"/>
      <c r="G38" s="127"/>
      <c r="H38" s="127"/>
      <c r="I38" s="127"/>
    </row>
    <row r="40" ht="14.25">
      <c r="C40" s="347"/>
    </row>
  </sheetData>
  <sheetProtection/>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88"/>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86" t="s">
        <v>320</v>
      </c>
      <c r="B1" s="986"/>
      <c r="C1" s="986"/>
      <c r="D1" s="986"/>
      <c r="E1" s="986"/>
      <c r="F1" s="986"/>
      <c r="G1" s="986"/>
    </row>
    <row r="2" spans="1:7" s="27" customFormat="1" ht="15" customHeight="1">
      <c r="A2" s="987"/>
      <c r="B2" s="987"/>
      <c r="C2" s="987"/>
      <c r="D2" s="987"/>
      <c r="E2" s="987"/>
      <c r="F2" s="987"/>
      <c r="G2" s="987"/>
    </row>
    <row r="3" spans="1:7" s="773" customFormat="1" ht="15" customHeight="1">
      <c r="A3" s="988" t="s">
        <v>353</v>
      </c>
      <c r="B3" s="988"/>
      <c r="C3" s="988"/>
      <c r="D3" s="988"/>
      <c r="E3" s="988"/>
      <c r="F3" s="988"/>
      <c r="G3" s="988"/>
    </row>
    <row r="4" spans="1:7" s="773" customFormat="1" ht="15" customHeight="1">
      <c r="A4" s="988" t="s">
        <v>5</v>
      </c>
      <c r="B4" s="988"/>
      <c r="C4" s="988"/>
      <c r="D4" s="988"/>
      <c r="E4" s="988"/>
      <c r="F4" s="988"/>
      <c r="G4" s="988"/>
    </row>
    <row r="5" spans="1:7" s="29" customFormat="1" ht="15" customHeight="1">
      <c r="A5" s="381"/>
      <c r="B5" s="797"/>
      <c r="C5" s="797"/>
      <c r="D5" s="798"/>
      <c r="E5" s="799"/>
      <c r="F5" s="799"/>
      <c r="G5" s="800"/>
    </row>
    <row r="6" spans="1:7" s="776" customFormat="1" ht="30" customHeight="1">
      <c r="A6" s="821"/>
      <c r="B6" s="904" t="s">
        <v>16</v>
      </c>
      <c r="C6" s="904" t="s">
        <v>67</v>
      </c>
      <c r="D6" s="904" t="s">
        <v>62</v>
      </c>
      <c r="E6" s="904" t="s">
        <v>70</v>
      </c>
      <c r="F6" s="905" t="s">
        <v>17</v>
      </c>
      <c r="G6" s="885" t="s">
        <v>321</v>
      </c>
    </row>
    <row r="7" spans="1:7" s="777" customFormat="1" ht="15" customHeight="1">
      <c r="A7" s="822" t="s">
        <v>355</v>
      </c>
      <c r="B7" s="823"/>
      <c r="C7" s="823"/>
      <c r="D7" s="824"/>
      <c r="E7" s="824"/>
      <c r="F7" s="824"/>
      <c r="G7" s="824"/>
    </row>
    <row r="8" spans="1:7" s="775" customFormat="1" ht="15" customHeight="1">
      <c r="A8" s="825" t="s">
        <v>356</v>
      </c>
      <c r="B8" s="925">
        <f>'Premiums YTD-8'!B12</f>
        <v>6512796</v>
      </c>
      <c r="C8" s="925">
        <f>'Premiums YTD-8'!C12</f>
        <v>-63946</v>
      </c>
      <c r="D8" s="925">
        <f>'Premiums YTD-8'!D12</f>
        <v>-2854</v>
      </c>
      <c r="E8" s="925">
        <f>'Premiums YTD-8'!E12</f>
        <v>-2274</v>
      </c>
      <c r="F8" s="925">
        <f>'Premiums YTD-8'!F12</f>
        <v>-2194</v>
      </c>
      <c r="G8" s="826">
        <f>SUM(B8:F8)</f>
        <v>6441528</v>
      </c>
    </row>
    <row r="9" spans="1:7" s="775" customFormat="1" ht="15" customHeight="1">
      <c r="A9" s="825" t="s">
        <v>357</v>
      </c>
      <c r="B9" s="827">
        <f>'Earned Incurred YTD-6'!C48</f>
        <v>171261.76999999996</v>
      </c>
      <c r="C9" s="827">
        <v>0</v>
      </c>
      <c r="D9" s="827">
        <v>0</v>
      </c>
      <c r="E9" s="827">
        <v>0</v>
      </c>
      <c r="F9" s="827">
        <v>0</v>
      </c>
      <c r="G9" s="827">
        <f>SUM(B9:F9)</f>
        <v>171261.76999999996</v>
      </c>
    </row>
    <row r="10" spans="1:7" s="775" customFormat="1" ht="15" customHeight="1" thickBot="1">
      <c r="A10" s="828" t="s">
        <v>358</v>
      </c>
      <c r="B10" s="926">
        <f aca="true" t="shared" si="0" ref="B10:G10">SUM(B8:B9)</f>
        <v>6684057.77</v>
      </c>
      <c r="C10" s="926">
        <f t="shared" si="0"/>
        <v>-63946</v>
      </c>
      <c r="D10" s="926">
        <f t="shared" si="0"/>
        <v>-2854</v>
      </c>
      <c r="E10" s="926">
        <f t="shared" si="0"/>
        <v>-2274</v>
      </c>
      <c r="F10" s="926">
        <f t="shared" si="0"/>
        <v>-2194</v>
      </c>
      <c r="G10" s="830">
        <f t="shared" si="0"/>
        <v>6612789.77</v>
      </c>
    </row>
    <row r="11" spans="1:7" s="775" customFormat="1" ht="15" customHeight="1" thickTop="1">
      <c r="A11" s="828"/>
      <c r="B11" s="831"/>
      <c r="C11" s="831"/>
      <c r="D11" s="831"/>
      <c r="E11" s="827"/>
      <c r="F11" s="827"/>
      <c r="G11" s="827"/>
    </row>
    <row r="12" spans="1:7" s="775" customFormat="1" ht="15" customHeight="1">
      <c r="A12" s="822" t="s">
        <v>359</v>
      </c>
      <c r="B12" s="824"/>
      <c r="C12" s="824"/>
      <c r="D12" s="824"/>
      <c r="E12" s="832"/>
      <c r="F12" s="832"/>
      <c r="G12" s="827"/>
    </row>
    <row r="13" spans="1:7" s="775" customFormat="1" ht="15" customHeight="1">
      <c r="A13" s="828" t="s">
        <v>360</v>
      </c>
      <c r="B13" s="927">
        <f>'Losses Incurred YTD-10'!B12</f>
        <v>742997.18</v>
      </c>
      <c r="C13" s="927">
        <f>'Losses Incurred YTD-10'!C12</f>
        <v>2735260.84</v>
      </c>
      <c r="D13" s="927">
        <f>'Losses Incurred YTD-10'!D12</f>
        <v>285975.52999999997</v>
      </c>
      <c r="E13" s="927">
        <f>'Losses Incurred YTD-10'!E12</f>
        <v>24657.09</v>
      </c>
      <c r="F13" s="927">
        <f>'Losses Incurred YTD-10'!F12</f>
        <v>-71385.6</v>
      </c>
      <c r="G13" s="827">
        <f>SUM(B13:F13)</f>
        <v>3717505.0399999996</v>
      </c>
    </row>
    <row r="14" spans="1:7" s="775" customFormat="1" ht="15" customHeight="1">
      <c r="A14" s="828" t="s">
        <v>361</v>
      </c>
      <c r="B14" s="927">
        <f>'[7]Loss Expenses Paid YTD-16'!C36</f>
        <v>25241.9</v>
      </c>
      <c r="C14" s="927">
        <f>'[7]Loss Expenses Paid YTD-16'!C30</f>
        <v>195724.04</v>
      </c>
      <c r="D14" s="927">
        <f>'[7]Loss Expenses Paid YTD-16'!C24</f>
        <v>38580.86</v>
      </c>
      <c r="E14" s="927">
        <f>'[7]Loss Expenses Paid YTD-16'!C18</f>
        <v>19204.6</v>
      </c>
      <c r="F14" s="927">
        <f>'[7]Loss Expenses Paid YTD-16'!C12</f>
        <v>19918.44</v>
      </c>
      <c r="G14" s="827">
        <f>SUM(B14:F14)</f>
        <v>298669.83999999997</v>
      </c>
    </row>
    <row r="15" spans="1:8" s="775" customFormat="1" ht="15" customHeight="1">
      <c r="A15" s="828" t="s">
        <v>362</v>
      </c>
      <c r="B15" s="927">
        <f>'[7]Loss Expenses Paid YTD-16'!I36</f>
        <v>43302.91</v>
      </c>
      <c r="C15" s="927">
        <f>'[7]Loss Expenses Paid YTD-16'!I30</f>
        <v>225471.05000000002</v>
      </c>
      <c r="D15" s="927">
        <f>'[7]Loss Expenses Paid YTD-16'!I24</f>
        <v>32938.79</v>
      </c>
      <c r="E15" s="927">
        <f>'[7]Loss Expenses Paid YTD-16'!I18</f>
        <v>-3950.54</v>
      </c>
      <c r="F15" s="927">
        <f>'[7]Loss Expenses Paid YTD-16'!I12</f>
        <v>-369.31</v>
      </c>
      <c r="G15" s="827">
        <f>SUM(B15:F15)</f>
        <v>297392.9</v>
      </c>
      <c r="H15" s="779"/>
    </row>
    <row r="16" spans="1:7" s="775" customFormat="1" ht="15" customHeight="1">
      <c r="A16" s="828" t="s">
        <v>363</v>
      </c>
      <c r="B16" s="827">
        <f>'[7]2Q09 Trial Balance'!F429</f>
        <v>22982.94</v>
      </c>
      <c r="C16" s="827">
        <v>0</v>
      </c>
      <c r="D16" s="827">
        <v>0</v>
      </c>
      <c r="E16" s="827">
        <v>0</v>
      </c>
      <c r="F16" s="827">
        <v>0</v>
      </c>
      <c r="G16" s="827">
        <f>SUM(B16:F16)</f>
        <v>22982.94</v>
      </c>
    </row>
    <row r="17" spans="1:8" s="775" customFormat="1" ht="15" customHeight="1">
      <c r="A17" s="833" t="s">
        <v>364</v>
      </c>
      <c r="B17" s="827">
        <f>'[7]2Q09 Trial Balance'!F435</f>
        <v>56713.36</v>
      </c>
      <c r="C17" s="827">
        <v>0</v>
      </c>
      <c r="D17" s="827">
        <v>0</v>
      </c>
      <c r="E17" s="827">
        <v>0</v>
      </c>
      <c r="F17" s="827">
        <v>0</v>
      </c>
      <c r="G17" s="827">
        <f>SUM(B17:F17)</f>
        <v>56713.36</v>
      </c>
      <c r="H17" s="779"/>
    </row>
    <row r="18" spans="1:8" s="775" customFormat="1" ht="15" customHeight="1">
      <c r="A18" s="828" t="s">
        <v>366</v>
      </c>
      <c r="B18" s="827">
        <f>'[7]2Q09 Trial Balance'!F431</f>
        <v>6600</v>
      </c>
      <c r="C18" s="827">
        <v>0</v>
      </c>
      <c r="D18" s="827">
        <v>0</v>
      </c>
      <c r="E18" s="827">
        <v>0</v>
      </c>
      <c r="F18" s="827">
        <v>0</v>
      </c>
      <c r="G18" s="827">
        <f>SUM(B18:F18)</f>
        <v>6600</v>
      </c>
      <c r="H18" s="779"/>
    </row>
    <row r="19" spans="1:7" s="775" customFormat="1" ht="15" customHeight="1">
      <c r="A19" s="833" t="s">
        <v>365</v>
      </c>
      <c r="B19" s="827">
        <f>'[7]2Q09 Trial Balance'!F424-1</f>
        <v>576757.85</v>
      </c>
      <c r="C19" s="927">
        <f>'[7]2Q09 Trial Balance'!F420</f>
        <v>-5522.099999999999</v>
      </c>
      <c r="D19" s="927">
        <f>'[7]2Q09 Trial Balance'!F416</f>
        <v>-285.4</v>
      </c>
      <c r="E19" s="927">
        <f>'[7]2Q09 Trial Balance'!F413</f>
        <v>-227.4</v>
      </c>
      <c r="F19" s="927">
        <f>'[7]2Q09 Trial Balance'!F410</f>
        <v>-219.4</v>
      </c>
      <c r="G19" s="827">
        <f>SUM(B19:F19)+1</f>
        <v>570504.5499999999</v>
      </c>
    </row>
    <row r="20" spans="1:8" s="775" customFormat="1" ht="15" customHeight="1">
      <c r="A20" s="828" t="s">
        <v>367</v>
      </c>
      <c r="B20" s="827">
        <f>'Earned Incurred YTD-6'!C39</f>
        <v>1951024.2299999993</v>
      </c>
      <c r="C20" s="827">
        <v>0</v>
      </c>
      <c r="D20" s="827">
        <v>0</v>
      </c>
      <c r="E20" s="827">
        <v>0</v>
      </c>
      <c r="F20" s="827">
        <v>0</v>
      </c>
      <c r="G20" s="827">
        <f>SUM(B20:F20)</f>
        <v>1951024.2299999993</v>
      </c>
      <c r="H20" s="779"/>
    </row>
    <row r="21" spans="1:8" s="775" customFormat="1" ht="15" customHeight="1">
      <c r="A21" s="828" t="s">
        <v>166</v>
      </c>
      <c r="B21" s="827">
        <f>19251.52+9722.52+10125</f>
        <v>39099.04</v>
      </c>
      <c r="C21" s="927">
        <f>4474.57+10125</f>
        <v>14599.57</v>
      </c>
      <c r="D21" s="827">
        <v>0</v>
      </c>
      <c r="E21" s="827">
        <v>0</v>
      </c>
      <c r="F21" s="827">
        <v>0</v>
      </c>
      <c r="G21" s="827">
        <f>SUM(B21:F21)</f>
        <v>53698.61</v>
      </c>
      <c r="H21" s="779"/>
    </row>
    <row r="22" spans="1:8" s="775" customFormat="1" ht="15" customHeight="1" thickBot="1">
      <c r="A22" s="828" t="s">
        <v>358</v>
      </c>
      <c r="B22" s="926">
        <f>SUM(B13:B21)</f>
        <v>3464719.409999999</v>
      </c>
      <c r="C22" s="926">
        <f>SUM(C13:C21)+1</f>
        <v>3165534.3999999994</v>
      </c>
      <c r="D22" s="926">
        <f>SUM(D13:D21)+1</f>
        <v>357210.7799999999</v>
      </c>
      <c r="E22" s="926">
        <f>SUM(E13:E21)</f>
        <v>39683.75</v>
      </c>
      <c r="F22" s="926">
        <f>SUM(F13:F21)</f>
        <v>-52055.87</v>
      </c>
      <c r="G22" s="830">
        <f>SUM(G13:G21)+1</f>
        <v>6975092.47</v>
      </c>
      <c r="H22" s="778"/>
    </row>
    <row r="23" spans="1:7" s="775" customFormat="1" ht="15" customHeight="1" thickTop="1">
      <c r="A23" s="828"/>
      <c r="B23" s="831"/>
      <c r="C23" s="831"/>
      <c r="D23" s="831"/>
      <c r="E23" s="827"/>
      <c r="F23" s="827"/>
      <c r="G23" s="827"/>
    </row>
    <row r="24" spans="1:7" s="775" customFormat="1" ht="15" customHeight="1" thickBot="1">
      <c r="A24" s="834" t="s">
        <v>368</v>
      </c>
      <c r="B24" s="928">
        <f>B10-B22+1</f>
        <v>3219339.3600000003</v>
      </c>
      <c r="C24" s="928">
        <f>C10-C22</f>
        <v>-3229480.3999999994</v>
      </c>
      <c r="D24" s="928">
        <f>D10-D22</f>
        <v>-360064.7799999999</v>
      </c>
      <c r="E24" s="928">
        <f>E10-E22</f>
        <v>-41957.75</v>
      </c>
      <c r="F24" s="928">
        <f>F10-F22</f>
        <v>49861.87</v>
      </c>
      <c r="G24" s="930">
        <f>SUM(B24:F24)</f>
        <v>-362301.699999999</v>
      </c>
    </row>
    <row r="25" spans="1:7" s="775" customFormat="1" ht="15" customHeight="1" thickTop="1">
      <c r="A25" s="828"/>
      <c r="B25" s="831"/>
      <c r="C25" s="831"/>
      <c r="D25" s="831"/>
      <c r="E25" s="827"/>
      <c r="F25" s="827"/>
      <c r="G25" s="827"/>
    </row>
    <row r="26" spans="1:7" s="775" customFormat="1" ht="15" customHeight="1">
      <c r="A26" s="822" t="s">
        <v>369</v>
      </c>
      <c r="B26" s="824"/>
      <c r="C26" s="824"/>
      <c r="D26" s="824"/>
      <c r="E26" s="832"/>
      <c r="F26" s="832"/>
      <c r="G26" s="827"/>
    </row>
    <row r="27" spans="1:7" s="775" customFormat="1" ht="15" customHeight="1">
      <c r="A27" s="828" t="s">
        <v>370</v>
      </c>
      <c r="B27" s="827">
        <v>0</v>
      </c>
      <c r="C27" s="827">
        <v>72361</v>
      </c>
      <c r="D27" s="827">
        <v>0</v>
      </c>
      <c r="E27" s="827">
        <v>0</v>
      </c>
      <c r="F27" s="827">
        <v>0</v>
      </c>
      <c r="G27" s="827">
        <f>SUM(B27:F27)</f>
        <v>72361</v>
      </c>
    </row>
    <row r="28" spans="1:8" s="775" customFormat="1" ht="15" customHeight="1">
      <c r="A28" s="828" t="s">
        <v>371</v>
      </c>
      <c r="B28" s="827">
        <f>'Balance Sheet-1'!D14</f>
        <v>585281.7000000001</v>
      </c>
      <c r="C28" s="827">
        <v>0</v>
      </c>
      <c r="D28" s="827">
        <v>0</v>
      </c>
      <c r="E28" s="827">
        <v>0</v>
      </c>
      <c r="F28" s="827">
        <v>0</v>
      </c>
      <c r="G28" s="827">
        <f>SUM(B28:F28)</f>
        <v>585281.7000000001</v>
      </c>
      <c r="H28" s="779"/>
    </row>
    <row r="29" spans="1:7" s="775" customFormat="1" ht="15" customHeight="1" thickBot="1">
      <c r="A29" s="828" t="s">
        <v>358</v>
      </c>
      <c r="B29" s="829">
        <f aca="true" t="shared" si="1" ref="B29:G29">SUM(B27:B28)</f>
        <v>585281.7000000001</v>
      </c>
      <c r="C29" s="829">
        <f t="shared" si="1"/>
        <v>72361</v>
      </c>
      <c r="D29" s="829">
        <f t="shared" si="1"/>
        <v>0</v>
      </c>
      <c r="E29" s="829">
        <f t="shared" si="1"/>
        <v>0</v>
      </c>
      <c r="F29" s="829">
        <f t="shared" si="1"/>
        <v>0</v>
      </c>
      <c r="G29" s="830">
        <f t="shared" si="1"/>
        <v>657642.7000000001</v>
      </c>
    </row>
    <row r="30" spans="1:7" s="775" customFormat="1" ht="15" customHeight="1" thickTop="1">
      <c r="A30" s="828"/>
      <c r="B30" s="831"/>
      <c r="C30" s="831"/>
      <c r="D30" s="831"/>
      <c r="E30" s="827"/>
      <c r="F30" s="827"/>
      <c r="G30" s="827"/>
    </row>
    <row r="31" spans="1:7" s="775" customFormat="1" ht="15" customHeight="1">
      <c r="A31" s="822" t="s">
        <v>372</v>
      </c>
      <c r="B31" s="824"/>
      <c r="C31" s="824"/>
      <c r="D31" s="824"/>
      <c r="E31" s="832"/>
      <c r="F31" s="832"/>
      <c r="G31" s="827"/>
    </row>
    <row r="32" spans="1:7" s="775" customFormat="1" ht="15" customHeight="1">
      <c r="A32" s="828" t="s">
        <v>373</v>
      </c>
      <c r="B32" s="827">
        <f>'Earned Incurred YTD-6'!B49</f>
        <v>42677.83</v>
      </c>
      <c r="C32" s="827">
        <v>0</v>
      </c>
      <c r="D32" s="827">
        <v>0</v>
      </c>
      <c r="E32" s="827">
        <v>0</v>
      </c>
      <c r="F32" s="827">
        <v>0</v>
      </c>
      <c r="G32" s="827">
        <f>SUM(B32:F32)</f>
        <v>42677.83</v>
      </c>
    </row>
    <row r="33" spans="1:9" s="775" customFormat="1" ht="15" customHeight="1">
      <c r="A33" s="828" t="s">
        <v>374</v>
      </c>
      <c r="B33" s="827">
        <v>0</v>
      </c>
      <c r="C33" s="827">
        <v>715307.98</v>
      </c>
      <c r="D33" s="827">
        <v>0</v>
      </c>
      <c r="E33" s="827">
        <v>0</v>
      </c>
      <c r="F33" s="827">
        <v>0</v>
      </c>
      <c r="G33" s="827">
        <f>SUM(B33:F33)</f>
        <v>715307.98</v>
      </c>
      <c r="H33" s="779"/>
      <c r="I33" s="779"/>
    </row>
    <row r="34" spans="1:8" s="775" customFormat="1" ht="15" customHeight="1" thickBot="1">
      <c r="A34" s="828" t="s">
        <v>358</v>
      </c>
      <c r="B34" s="829">
        <f aca="true" t="shared" si="2" ref="B34:G34">SUM(B32:B33)</f>
        <v>42677.83</v>
      </c>
      <c r="C34" s="829">
        <f t="shared" si="2"/>
        <v>715307.98</v>
      </c>
      <c r="D34" s="829">
        <f t="shared" si="2"/>
        <v>0</v>
      </c>
      <c r="E34" s="829">
        <f t="shared" si="2"/>
        <v>0</v>
      </c>
      <c r="F34" s="829">
        <f t="shared" si="2"/>
        <v>0</v>
      </c>
      <c r="G34" s="830">
        <f t="shared" si="2"/>
        <v>757985.8099999999</v>
      </c>
      <c r="H34" s="779"/>
    </row>
    <row r="35" spans="1:7" s="775" customFormat="1" ht="15" customHeight="1" thickTop="1">
      <c r="A35" s="828"/>
      <c r="B35" s="831"/>
      <c r="C35" s="831"/>
      <c r="D35" s="831"/>
      <c r="E35" s="827"/>
      <c r="F35" s="827"/>
      <c r="G35" s="835"/>
    </row>
    <row r="36" spans="1:7" s="775" customFormat="1" ht="15" customHeight="1" thickBot="1">
      <c r="A36" s="822" t="s">
        <v>375</v>
      </c>
      <c r="B36" s="928">
        <f>B24-B29+B34</f>
        <v>2676735.49</v>
      </c>
      <c r="C36" s="928">
        <f>C24-C29+C34</f>
        <v>-2586533.4199999995</v>
      </c>
      <c r="D36" s="928">
        <f>D24-D29+D34</f>
        <v>-360064.7799999999</v>
      </c>
      <c r="E36" s="928">
        <f>E24-E29+E34</f>
        <v>-41957.75</v>
      </c>
      <c r="F36" s="928">
        <f>F24-F29+F34</f>
        <v>49861.87</v>
      </c>
      <c r="G36" s="930">
        <f>SUM(B36:F36)</f>
        <v>-261958.58999999915</v>
      </c>
    </row>
    <row r="37" spans="1:7" s="775" customFormat="1" ht="15" customHeight="1" thickTop="1">
      <c r="A37" s="828"/>
      <c r="B37" s="831"/>
      <c r="C37" s="831"/>
      <c r="D37" s="831"/>
      <c r="E37" s="827"/>
      <c r="F37" s="827"/>
      <c r="G37" s="827"/>
    </row>
    <row r="38" spans="1:7" s="775" customFormat="1" ht="15" customHeight="1">
      <c r="A38" s="836" t="s">
        <v>170</v>
      </c>
      <c r="B38" s="837"/>
      <c r="C38" s="837"/>
      <c r="D38" s="837"/>
      <c r="E38" s="827"/>
      <c r="F38" s="827"/>
      <c r="G38" s="827"/>
    </row>
    <row r="39" spans="1:7" s="775" customFormat="1" ht="15" customHeight="1">
      <c r="A39" s="828" t="s">
        <v>333</v>
      </c>
      <c r="B39" s="827">
        <f>'Premiums YTD-8'!B18</f>
        <v>4915996.85</v>
      </c>
      <c r="C39" s="827">
        <f>'Premiums YTD-8'!C18</f>
        <v>1720422.23</v>
      </c>
      <c r="D39" s="827">
        <f>'Premiums YTD-8'!D18</f>
        <v>0</v>
      </c>
      <c r="E39" s="827">
        <f>'Premiums YTD-8'!E18</f>
        <v>0</v>
      </c>
      <c r="F39" s="827">
        <f>'Premiums YTD-8'!F18</f>
        <v>0</v>
      </c>
      <c r="G39" s="827">
        <f>SUM(B39:F39)</f>
        <v>6636419.08</v>
      </c>
    </row>
    <row r="40" spans="1:7" s="775" customFormat="1" ht="15" customHeight="1">
      <c r="A40" s="828" t="s">
        <v>376</v>
      </c>
      <c r="B40" s="827">
        <f>'Losses Incurred YTD-10'!B18+'Losses Incurred YTD-10'!B24</f>
        <v>382003.06</v>
      </c>
      <c r="C40" s="827">
        <f>'Losses Incurred YTD-10'!C18+'Losses Incurred YTD-10'!C24</f>
        <v>1579139.19</v>
      </c>
      <c r="D40" s="827">
        <f>'Losses Incurred YTD-10'!D18+'Losses Incurred YTD-10'!D24</f>
        <v>111755</v>
      </c>
      <c r="E40" s="827">
        <f>'Losses Incurred YTD-10'!E18+'Losses Incurred YTD-10'!E24</f>
        <v>49500</v>
      </c>
      <c r="F40" s="827">
        <f>'Losses Incurred YTD-10'!F18+'Losses Incurred YTD-10'!F24</f>
        <v>246980.6</v>
      </c>
      <c r="G40" s="827">
        <f>SUM(B40:F40)</f>
        <v>2369377.85</v>
      </c>
    </row>
    <row r="41" spans="1:7" s="775" customFormat="1" ht="15" customHeight="1">
      <c r="A41" s="828" t="s">
        <v>377</v>
      </c>
      <c r="B41" s="827">
        <f>'Loss Expenses YTD-12'!B18</f>
        <v>79698.45000000001</v>
      </c>
      <c r="C41" s="827">
        <f>'Loss Expenses YTD-12'!C18</f>
        <v>179289.97999999998</v>
      </c>
      <c r="D41" s="827">
        <f>'Loss Expenses YTD-12'!D18</f>
        <v>46441.78</v>
      </c>
      <c r="E41" s="827">
        <f>'Loss Expenses YTD-12'!E18</f>
        <v>18590.85</v>
      </c>
      <c r="F41" s="827">
        <f>'Loss Expenses YTD-12'!F18</f>
        <v>13229.48</v>
      </c>
      <c r="G41" s="827">
        <f>SUM(B41:F41)-1</f>
        <v>337249.5399999999</v>
      </c>
    </row>
    <row r="42" spans="1:7" s="775" customFormat="1" ht="15" customHeight="1">
      <c r="A42" s="828" t="s">
        <v>378</v>
      </c>
      <c r="B42" s="827">
        <f>'Earned Incurred YTD-6'!B41</f>
        <v>178226.86000000002</v>
      </c>
      <c r="C42" s="827">
        <v>0</v>
      </c>
      <c r="D42" s="827">
        <v>0</v>
      </c>
      <c r="E42" s="827">
        <v>0</v>
      </c>
      <c r="F42" s="827">
        <v>0</v>
      </c>
      <c r="G42" s="827">
        <f>SUM(B42:F42)</f>
        <v>178226.86000000002</v>
      </c>
    </row>
    <row r="43" spans="1:7" s="775" customFormat="1" ht="15" customHeight="1">
      <c r="A43" s="828" t="s">
        <v>379</v>
      </c>
      <c r="B43" s="827">
        <f>'Earned Incurred YTD-6'!B33</f>
        <v>17092.15</v>
      </c>
      <c r="C43" s="827">
        <v>0</v>
      </c>
      <c r="D43" s="827">
        <v>0</v>
      </c>
      <c r="E43" s="827">
        <v>0</v>
      </c>
      <c r="F43" s="827">
        <v>0</v>
      </c>
      <c r="G43" s="827">
        <f>SUM(B43:F43)</f>
        <v>17092.15</v>
      </c>
    </row>
    <row r="44" spans="1:7" s="775" customFormat="1" ht="15" customHeight="1" thickBot="1">
      <c r="A44" s="838" t="s">
        <v>358</v>
      </c>
      <c r="B44" s="829">
        <f>SUM(B39:B43)</f>
        <v>5573017.37</v>
      </c>
      <c r="C44" s="829">
        <f>SUM(C39:C43)</f>
        <v>3478851.4</v>
      </c>
      <c r="D44" s="829">
        <f>SUM(D39:D43)</f>
        <v>158196.78</v>
      </c>
      <c r="E44" s="829">
        <f>SUM(E39:E43)</f>
        <v>68090.85</v>
      </c>
      <c r="F44" s="829">
        <f>SUM(F39:F43)</f>
        <v>260210.08000000002</v>
      </c>
      <c r="G44" s="830">
        <f>SUM(G39:G43)+1</f>
        <v>9538366.479999999</v>
      </c>
    </row>
    <row r="45" spans="1:7" s="775" customFormat="1" ht="15" customHeight="1" thickTop="1">
      <c r="A45" s="828"/>
      <c r="B45" s="831"/>
      <c r="C45" s="831"/>
      <c r="D45" s="831"/>
      <c r="E45" s="827"/>
      <c r="F45" s="827"/>
      <c r="G45" s="827"/>
    </row>
    <row r="46" spans="1:7" s="775" customFormat="1" ht="15" customHeight="1">
      <c r="A46" s="836" t="s">
        <v>171</v>
      </c>
      <c r="B46" s="837"/>
      <c r="C46" s="837"/>
      <c r="D46" s="837"/>
      <c r="E46" s="827"/>
      <c r="F46" s="827"/>
      <c r="G46" s="827"/>
    </row>
    <row r="47" spans="1:7" s="775" customFormat="1" ht="15" customHeight="1">
      <c r="A47" s="828" t="s">
        <v>333</v>
      </c>
      <c r="B47" s="827">
        <f>'Premiums YTD-8'!B24</f>
        <v>0</v>
      </c>
      <c r="C47" s="827">
        <f>'Premiums YTD-8'!C24</f>
        <v>7152001</v>
      </c>
      <c r="D47" s="827">
        <f>'Premiums YTD-8'!D24</f>
        <v>0</v>
      </c>
      <c r="E47" s="827">
        <f>'Premiums YTD-8'!E24</f>
        <v>0</v>
      </c>
      <c r="F47" s="827">
        <f>'Premiums YTD-8'!F24</f>
        <v>0</v>
      </c>
      <c r="G47" s="827">
        <f aca="true" t="shared" si="3" ref="G47:G52">SUM(B47:F47)</f>
        <v>7152001</v>
      </c>
    </row>
    <row r="48" spans="1:7" s="775" customFormat="1" ht="15" customHeight="1">
      <c r="A48" s="828" t="s">
        <v>376</v>
      </c>
      <c r="B48" s="827">
        <f>'Losses Incurred YTD-10'!B31</f>
        <v>0</v>
      </c>
      <c r="C48" s="827">
        <f>'Losses Incurred YTD-10'!C31</f>
        <v>2357246</v>
      </c>
      <c r="D48" s="827">
        <f>'Losses Incurred YTD-10'!D31</f>
        <v>670061</v>
      </c>
      <c r="E48" s="827">
        <f>'Losses Incurred YTD-10'!E31</f>
        <v>98500</v>
      </c>
      <c r="F48" s="827">
        <f>'Losses Incurred YTD-10'!F31</f>
        <v>119981</v>
      </c>
      <c r="G48" s="827">
        <f t="shared" si="3"/>
        <v>3245788</v>
      </c>
    </row>
    <row r="49" spans="1:7" s="775" customFormat="1" ht="15" customHeight="1">
      <c r="A49" s="828" t="s">
        <v>380</v>
      </c>
      <c r="B49" s="827">
        <f>'Loss Expenses YTD-12'!B24</f>
        <v>0</v>
      </c>
      <c r="C49" s="827">
        <f>'Loss Expenses YTD-12'!C24</f>
        <v>261646</v>
      </c>
      <c r="D49" s="827">
        <f>'Loss Expenses YTD-12'!D24</f>
        <v>126156</v>
      </c>
      <c r="E49" s="827">
        <f>'Loss Expenses YTD-12'!E24</f>
        <v>30075</v>
      </c>
      <c r="F49" s="827">
        <f>'Loss Expenses YTD-12'!F24</f>
        <v>16110</v>
      </c>
      <c r="G49" s="827">
        <f t="shared" si="3"/>
        <v>433987</v>
      </c>
    </row>
    <row r="50" spans="1:7" s="775" customFormat="1" ht="15" customHeight="1">
      <c r="A50" s="828" t="s">
        <v>378</v>
      </c>
      <c r="B50" s="827">
        <v>0</v>
      </c>
      <c r="C50" s="827">
        <f>'Earned Incurred YTD-6'!B42</f>
        <v>175045</v>
      </c>
      <c r="D50" s="827">
        <v>0</v>
      </c>
      <c r="E50" s="827">
        <v>0</v>
      </c>
      <c r="F50" s="827">
        <v>0</v>
      </c>
      <c r="G50" s="827">
        <f t="shared" si="3"/>
        <v>175045</v>
      </c>
    </row>
    <row r="51" spans="1:7" s="775" customFormat="1" ht="15" customHeight="1">
      <c r="A51" s="828" t="s">
        <v>379</v>
      </c>
      <c r="B51" s="827">
        <v>0</v>
      </c>
      <c r="C51" s="827">
        <f>'Earned Incurred YTD-6'!B34</f>
        <v>40035</v>
      </c>
      <c r="D51" s="827">
        <v>0</v>
      </c>
      <c r="E51" s="827">
        <v>0</v>
      </c>
      <c r="F51" s="827">
        <v>0</v>
      </c>
      <c r="G51" s="827">
        <f t="shared" si="3"/>
        <v>40035</v>
      </c>
    </row>
    <row r="52" spans="1:7" s="775" customFormat="1" ht="15" customHeight="1" thickBot="1">
      <c r="A52" s="828" t="s">
        <v>358</v>
      </c>
      <c r="B52" s="829">
        <f>SUM(B47:B51)</f>
        <v>0</v>
      </c>
      <c r="C52" s="829">
        <f>SUM(C47:C51)</f>
        <v>9985973</v>
      </c>
      <c r="D52" s="829">
        <f>SUM(D47:D51)</f>
        <v>796217</v>
      </c>
      <c r="E52" s="829">
        <f>SUM(E47:E51)</f>
        <v>128575</v>
      </c>
      <c r="F52" s="829">
        <f>SUM(F47:F51)</f>
        <v>136091</v>
      </c>
      <c r="G52" s="830">
        <f t="shared" si="3"/>
        <v>11046856</v>
      </c>
    </row>
    <row r="53" spans="1:7" s="775" customFormat="1" ht="15" customHeight="1" thickTop="1">
      <c r="A53" s="828"/>
      <c r="B53" s="831"/>
      <c r="C53" s="831"/>
      <c r="D53" s="831"/>
      <c r="E53" s="831"/>
      <c r="F53" s="831"/>
      <c r="G53" s="485"/>
    </row>
    <row r="54" spans="1:8" s="775" customFormat="1" ht="15" customHeight="1" thickBot="1">
      <c r="A54" s="834" t="s">
        <v>381</v>
      </c>
      <c r="B54" s="929">
        <f>B36-B44+B52</f>
        <v>-2896281.88</v>
      </c>
      <c r="C54" s="929">
        <f>C36-C44+C52+1</f>
        <v>3920589.1800000006</v>
      </c>
      <c r="D54" s="929">
        <f>D36-D44+D52</f>
        <v>277955.44000000006</v>
      </c>
      <c r="E54" s="929">
        <f>E36-E44+E52</f>
        <v>18526.399999999994</v>
      </c>
      <c r="F54" s="929">
        <f>F36-F44+F52</f>
        <v>-74257.21000000002</v>
      </c>
      <c r="G54" s="929">
        <f>G36-G44+G52-1</f>
        <v>1246529.9300000016</v>
      </c>
      <c r="H54" s="779"/>
    </row>
    <row r="55" spans="1:8" s="775" customFormat="1" ht="15" customHeight="1" thickTop="1">
      <c r="A55" s="778"/>
      <c r="B55" s="779"/>
      <c r="C55" s="779"/>
      <c r="D55" s="801"/>
      <c r="E55" s="801"/>
      <c r="F55" s="801"/>
      <c r="G55" s="774"/>
      <c r="H55" s="779"/>
    </row>
    <row r="56" spans="1:9" s="775" customFormat="1" ht="15" customHeight="1">
      <c r="A56" s="778"/>
      <c r="B56" s="779"/>
      <c r="C56" s="779"/>
      <c r="D56" s="801"/>
      <c r="E56" s="801"/>
      <c r="F56" s="801"/>
      <c r="G56" s="774"/>
      <c r="I56" s="779"/>
    </row>
    <row r="57" spans="1:7" s="775" customFormat="1" ht="15" customHeight="1">
      <c r="A57" s="778"/>
      <c r="B57" s="779"/>
      <c r="C57" s="779"/>
      <c r="D57" s="801"/>
      <c r="E57" s="801"/>
      <c r="F57" s="801"/>
      <c r="G57" s="801"/>
    </row>
    <row r="58" spans="2:7" s="775" customFormat="1" ht="15" customHeight="1">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1:7" s="775" customFormat="1" ht="15" customHeight="1">
      <c r="A61" s="777"/>
      <c r="B61" s="802"/>
      <c r="C61" s="802"/>
      <c r="D61" s="801"/>
      <c r="E61" s="801"/>
      <c r="F61" s="801"/>
      <c r="G61" s="801"/>
    </row>
    <row r="62" spans="2:7" s="775" customFormat="1" ht="15" customHeight="1">
      <c r="B62" s="779"/>
      <c r="C62" s="779"/>
      <c r="D62" s="801"/>
      <c r="E62" s="801"/>
      <c r="F62" s="801"/>
      <c r="G62" s="774"/>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992" t="s">
        <v>320</v>
      </c>
      <c r="B1" s="993"/>
      <c r="C1" s="993"/>
      <c r="D1" s="994"/>
      <c r="E1" s="769"/>
    </row>
    <row r="2" spans="1:5" s="45" customFormat="1" ht="15" customHeight="1">
      <c r="A2" s="995"/>
      <c r="B2" s="996"/>
      <c r="C2" s="996"/>
      <c r="D2" s="997"/>
      <c r="E2" s="770"/>
    </row>
    <row r="3" spans="1:5" s="45" customFormat="1" ht="15" customHeight="1">
      <c r="A3" s="989" t="s">
        <v>283</v>
      </c>
      <c r="B3" s="990"/>
      <c r="C3" s="990"/>
      <c r="D3" s="991"/>
      <c r="E3" s="770"/>
    </row>
    <row r="4" spans="1:5" s="45" customFormat="1" ht="15" customHeight="1">
      <c r="A4" s="989" t="s">
        <v>382</v>
      </c>
      <c r="B4" s="990"/>
      <c r="C4" s="990"/>
      <c r="D4" s="991"/>
      <c r="E4" s="770"/>
    </row>
    <row r="5" spans="1:5" s="45" customFormat="1" ht="15" customHeight="1">
      <c r="A5" s="989" t="s">
        <v>6</v>
      </c>
      <c r="B5" s="990"/>
      <c r="C5" s="990"/>
      <c r="D5" s="991"/>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383</v>
      </c>
      <c r="B8" s="879" t="s">
        <v>8</v>
      </c>
      <c r="C8" s="935"/>
      <c r="D8" s="881"/>
      <c r="E8" s="127"/>
    </row>
    <row r="9" spans="1:5" s="18" customFormat="1" ht="15" customHeight="1">
      <c r="A9" s="407"/>
      <c r="B9" s="882" t="s">
        <v>273</v>
      </c>
      <c r="C9" s="883"/>
      <c r="D9" s="884"/>
      <c r="E9" s="127"/>
    </row>
    <row r="10" spans="1:5" s="18" customFormat="1" ht="15" customHeight="1">
      <c r="A10" s="408"/>
      <c r="B10" s="790" t="s">
        <v>330</v>
      </c>
      <c r="C10" s="791"/>
      <c r="D10" s="897"/>
      <c r="E10" s="127"/>
    </row>
    <row r="11" spans="1:5" s="18" customFormat="1" ht="15" customHeight="1">
      <c r="A11" s="409" t="s">
        <v>384</v>
      </c>
      <c r="B11" s="509"/>
      <c r="C11" s="477">
        <f>'Premiums QTD-7'!G12</f>
        <v>3406996</v>
      </c>
      <c r="D11" s="897"/>
      <c r="E11" s="127"/>
    </row>
    <row r="12" spans="1:5" s="18" customFormat="1" ht="15" customHeight="1">
      <c r="A12" s="409"/>
      <c r="B12" s="509"/>
      <c r="C12" s="485"/>
      <c r="D12" s="897"/>
      <c r="E12" s="127"/>
    </row>
    <row r="13" spans="1:5" s="18" customFormat="1" ht="15" customHeight="1">
      <c r="A13" s="410" t="s">
        <v>385</v>
      </c>
      <c r="B13" s="509">
        <f>'Premiums QTD-7'!G18</f>
        <v>6636419.079999999</v>
      </c>
      <c r="C13" s="122"/>
      <c r="D13" s="897"/>
      <c r="E13" s="127"/>
    </row>
    <row r="14" spans="1:5" s="18" customFormat="1" ht="15" customHeight="1">
      <c r="A14" s="410" t="s">
        <v>404</v>
      </c>
      <c r="B14" s="511">
        <v>6662807.970000001</v>
      </c>
      <c r="C14" s="122"/>
      <c r="D14" s="897"/>
      <c r="E14" s="127"/>
    </row>
    <row r="15" spans="1:5" s="18" customFormat="1" ht="15" customHeight="1">
      <c r="A15" s="410" t="s">
        <v>405</v>
      </c>
      <c r="B15" s="509"/>
      <c r="C15" s="512">
        <f>B14-B13</f>
        <v>26388.890000001527</v>
      </c>
      <c r="D15" s="897"/>
      <c r="E15" s="127"/>
    </row>
    <row r="16" spans="1:5" s="18" customFormat="1" ht="15" customHeight="1">
      <c r="A16" s="409" t="s">
        <v>406</v>
      </c>
      <c r="B16" s="509"/>
      <c r="C16" s="122"/>
      <c r="D16" s="899">
        <f>C11+C15</f>
        <v>3433384.8900000015</v>
      </c>
      <c r="E16" s="127"/>
    </row>
    <row r="17" spans="1:4" s="18" customFormat="1" ht="15" customHeight="1">
      <c r="A17" s="410" t="s">
        <v>407</v>
      </c>
      <c r="B17" s="509"/>
      <c r="C17" s="122">
        <f>'[7]Loss Expenses Paid QTD-15'!E42</f>
        <v>2422721.29</v>
      </c>
      <c r="D17" s="897"/>
    </row>
    <row r="18" spans="1:4" s="18" customFormat="1" ht="15" customHeight="1">
      <c r="A18" s="410" t="s">
        <v>146</v>
      </c>
      <c r="B18" s="509"/>
      <c r="C18" s="512">
        <f>-'[7]2Q09 Trial Balance'!D297</f>
        <v>11496.05</v>
      </c>
      <c r="D18" s="897"/>
    </row>
    <row r="19" spans="1:5" s="18" customFormat="1" ht="15" customHeight="1">
      <c r="A19" s="409" t="s">
        <v>409</v>
      </c>
      <c r="B19" s="509"/>
      <c r="C19" s="122">
        <f>C17-C18</f>
        <v>2411225.24</v>
      </c>
      <c r="D19" s="897"/>
      <c r="E19" s="127"/>
    </row>
    <row r="20" spans="1:5" s="18" customFormat="1" ht="15" customHeight="1">
      <c r="A20" s="410" t="s">
        <v>410</v>
      </c>
      <c r="B20" s="509">
        <f>'Losses Incurred QTD-9'!G18+'Losses Incurred QTD-9'!G24</f>
        <v>2369377.85</v>
      </c>
      <c r="C20" s="122" t="s">
        <v>330</v>
      </c>
      <c r="D20" s="897"/>
      <c r="E20" s="127"/>
    </row>
    <row r="21" spans="1:5" s="18" customFormat="1" ht="15" customHeight="1">
      <c r="A21" s="410" t="s">
        <v>411</v>
      </c>
      <c r="B21" s="511">
        <v>3868982.84</v>
      </c>
      <c r="C21" s="122"/>
      <c r="D21" s="897"/>
      <c r="E21" s="127"/>
    </row>
    <row r="22" spans="1:5" s="18" customFormat="1" ht="15" customHeight="1">
      <c r="A22" s="410" t="s">
        <v>412</v>
      </c>
      <c r="B22" s="514"/>
      <c r="C22" s="918">
        <f>B20-B21</f>
        <v>-1499604.9899999998</v>
      </c>
      <c r="D22" s="897"/>
      <c r="E22" s="127"/>
    </row>
    <row r="23" spans="1:6" s="18" customFormat="1" ht="15" customHeight="1">
      <c r="A23" s="409" t="s">
        <v>413</v>
      </c>
      <c r="B23" s="509"/>
      <c r="C23" s="122"/>
      <c r="D23" s="897">
        <f>C19+C22</f>
        <v>911620.2500000005</v>
      </c>
      <c r="E23" s="122"/>
      <c r="F23" s="114"/>
    </row>
    <row r="24" spans="1:5" s="18" customFormat="1" ht="15" customHeight="1">
      <c r="A24" s="410" t="s">
        <v>414</v>
      </c>
      <c r="B24" s="509"/>
      <c r="C24" s="122">
        <f>'[7]Loss Expenses Paid QTD-15'!C42</f>
        <v>156902.22</v>
      </c>
      <c r="D24" s="897"/>
      <c r="E24" s="334"/>
    </row>
    <row r="25" spans="1:5" s="18" customFormat="1" ht="15" customHeight="1">
      <c r="A25" s="410" t="s">
        <v>415</v>
      </c>
      <c r="B25" s="509"/>
      <c r="C25" s="512">
        <f>'[7]Loss Expenses Paid QTD-15'!I42</f>
        <v>136854.75</v>
      </c>
      <c r="D25" s="897"/>
      <c r="E25" s="334"/>
    </row>
    <row r="26" spans="1:5" s="18" customFormat="1" ht="15" customHeight="1">
      <c r="A26" s="409" t="s">
        <v>416</v>
      </c>
      <c r="B26" s="509"/>
      <c r="C26" s="122">
        <f>C24+C25</f>
        <v>293756.97</v>
      </c>
      <c r="D26" s="897"/>
      <c r="E26" s="122"/>
    </row>
    <row r="27" spans="1:5" s="18" customFormat="1" ht="15" customHeight="1">
      <c r="A27" s="410" t="s">
        <v>417</v>
      </c>
      <c r="B27" s="509">
        <f>'Loss Expenses QTD-11'!G18</f>
        <v>337249.54</v>
      </c>
      <c r="C27" s="122"/>
      <c r="D27" s="897"/>
      <c r="E27" s="334"/>
    </row>
    <row r="28" spans="1:5" s="18" customFormat="1" ht="15" customHeight="1">
      <c r="A28" s="410" t="s">
        <v>418</v>
      </c>
      <c r="B28" s="511">
        <v>438105.14</v>
      </c>
      <c r="C28" s="122"/>
      <c r="D28" s="897"/>
      <c r="E28" s="122"/>
    </row>
    <row r="29" spans="1:7" s="18" customFormat="1" ht="15" customHeight="1">
      <c r="A29" s="410" t="s">
        <v>419</v>
      </c>
      <c r="B29" s="509"/>
      <c r="C29" s="918">
        <f>B27-B28+1</f>
        <v>-100854.60000000003</v>
      </c>
      <c r="D29" s="897"/>
      <c r="E29" s="334"/>
      <c r="G29" s="114"/>
    </row>
    <row r="30" spans="1:6" s="18" customFormat="1" ht="15" customHeight="1">
      <c r="A30" s="409" t="s">
        <v>420</v>
      </c>
      <c r="B30" s="509"/>
      <c r="C30" s="122"/>
      <c r="D30" s="898">
        <f>C26+C29</f>
        <v>192902.36999999994</v>
      </c>
      <c r="E30" s="122"/>
      <c r="F30" s="114"/>
    </row>
    <row r="31" spans="1:6" s="18" customFormat="1" ht="15" customHeight="1">
      <c r="A31" s="409" t="s">
        <v>421</v>
      </c>
      <c r="B31" s="509"/>
      <c r="C31" s="122"/>
      <c r="D31" s="900">
        <f>D23+D30-1</f>
        <v>1104521.6200000003</v>
      </c>
      <c r="E31" s="122"/>
      <c r="F31" s="114"/>
    </row>
    <row r="32" spans="1:6" s="18" customFormat="1" ht="15" customHeight="1">
      <c r="A32" s="410" t="s">
        <v>422</v>
      </c>
      <c r="B32" s="509"/>
      <c r="C32" s="122">
        <f>9722.52+20250</f>
        <v>29972.52</v>
      </c>
      <c r="D32" s="897"/>
      <c r="E32" s="334"/>
      <c r="F32" s="114"/>
    </row>
    <row r="33" spans="1:7" s="18" customFormat="1" ht="15" customHeight="1">
      <c r="A33" s="410" t="s">
        <v>423</v>
      </c>
      <c r="B33" s="509">
        <f>-'[7]2Q09 Trial Balance'!F145</f>
        <v>17092.15</v>
      </c>
      <c r="C33" s="122"/>
      <c r="D33" s="897"/>
      <c r="E33" s="127"/>
      <c r="G33" s="114"/>
    </row>
    <row r="34" spans="1:7" s="18" customFormat="1" ht="15" customHeight="1">
      <c r="A34" s="410" t="s">
        <v>424</v>
      </c>
      <c r="B34" s="511">
        <v>34185.31</v>
      </c>
      <c r="C34" s="122" t="s">
        <v>330</v>
      </c>
      <c r="D34" s="897"/>
      <c r="E34" s="127"/>
      <c r="G34" s="114"/>
    </row>
    <row r="35" spans="1:5" s="18" customFormat="1" ht="15" customHeight="1">
      <c r="A35" s="410" t="s">
        <v>129</v>
      </c>
      <c r="B35" s="509"/>
      <c r="C35" s="918">
        <f>B33-B34</f>
        <v>-17093.159999999996</v>
      </c>
      <c r="D35" s="897"/>
      <c r="E35" s="127"/>
    </row>
    <row r="36" spans="1:6" s="18" customFormat="1" ht="15" customHeight="1">
      <c r="A36" s="409" t="s">
        <v>130</v>
      </c>
      <c r="B36" s="509"/>
      <c r="C36" s="122" t="s">
        <v>330</v>
      </c>
      <c r="D36" s="897">
        <f>C32+C35+1</f>
        <v>12880.360000000004</v>
      </c>
      <c r="E36" s="127"/>
      <c r="F36" s="114"/>
    </row>
    <row r="37" spans="1:5" s="18" customFormat="1" ht="15" customHeight="1">
      <c r="A37" s="410" t="s">
        <v>55</v>
      </c>
      <c r="B37" s="509"/>
      <c r="C37" s="122">
        <f>'[7]2Q09 Trial Balance'!D426</f>
        <v>304865.79999999993</v>
      </c>
      <c r="D37" s="897"/>
      <c r="E37" s="127"/>
    </row>
    <row r="38" spans="1:5" s="18" customFormat="1" ht="15" customHeight="1">
      <c r="A38" s="410" t="s">
        <v>34</v>
      </c>
      <c r="B38" s="509"/>
      <c r="C38" s="122">
        <f>'[7]2Q09 Trial Balance'!D437</f>
        <v>44477.740000000005</v>
      </c>
      <c r="D38" s="897"/>
      <c r="E38" s="771"/>
    </row>
    <row r="39" spans="1:6" s="18" customFormat="1" ht="15" customHeight="1">
      <c r="A39" s="410" t="s">
        <v>215</v>
      </c>
      <c r="B39" s="509"/>
      <c r="C39" s="512">
        <f>'[7]2Q09 Trial Balance'!D752-C43+1</f>
        <v>1002385.1499999999</v>
      </c>
      <c r="D39" s="897"/>
      <c r="E39" s="771"/>
      <c r="F39" s="127"/>
    </row>
    <row r="40" spans="1:6" s="18" customFormat="1" ht="15" customHeight="1">
      <c r="A40" s="409" t="s">
        <v>216</v>
      </c>
      <c r="B40" s="509"/>
      <c r="C40" s="122">
        <f>SUM(C37:C39)</f>
        <v>1351728.69</v>
      </c>
      <c r="D40" s="897"/>
      <c r="E40" s="771"/>
      <c r="F40" s="127"/>
    </row>
    <row r="41" spans="1:5" s="18" customFormat="1" ht="15" customHeight="1">
      <c r="A41" s="410" t="s">
        <v>423</v>
      </c>
      <c r="B41" s="509">
        <f>-'[7]2Q09 Trial Balance'!F161</f>
        <v>178226.86000000002</v>
      </c>
      <c r="C41" s="122"/>
      <c r="D41" s="897"/>
      <c r="E41" s="771"/>
    </row>
    <row r="42" spans="1:5" s="18" customFormat="1" ht="15" customHeight="1">
      <c r="A42" s="410" t="s">
        <v>424</v>
      </c>
      <c r="B42" s="511">
        <v>225966.29</v>
      </c>
      <c r="C42" s="122" t="s">
        <v>330</v>
      </c>
      <c r="D42" s="897"/>
      <c r="E42" s="127"/>
    </row>
    <row r="43" spans="1:5" s="18" customFormat="1" ht="15" customHeight="1">
      <c r="A43" s="410" t="s">
        <v>217</v>
      </c>
      <c r="B43" s="509"/>
      <c r="C43" s="918">
        <f>+B41-B42</f>
        <v>-47739.42999999999</v>
      </c>
      <c r="D43" s="897"/>
      <c r="E43" s="127"/>
    </row>
    <row r="44" spans="1:6" s="18" customFormat="1" ht="15" customHeight="1">
      <c r="A44" s="409" t="s">
        <v>284</v>
      </c>
      <c r="B44" s="509"/>
      <c r="C44" s="122"/>
      <c r="D44" s="898">
        <f>SUM(C40:C43)+1</f>
        <v>1303990.26</v>
      </c>
      <c r="E44" s="127"/>
      <c r="F44" s="127"/>
    </row>
    <row r="45" spans="1:6" s="18" customFormat="1" ht="15" customHeight="1">
      <c r="A45" s="409" t="s">
        <v>218</v>
      </c>
      <c r="B45" s="509"/>
      <c r="C45" s="122"/>
      <c r="D45" s="901">
        <f>SUM(D36:D44)-1</f>
        <v>1316869.62</v>
      </c>
      <c r="E45" s="127"/>
      <c r="F45" s="120"/>
    </row>
    <row r="46" spans="1:6" s="18" customFormat="1" ht="15" customHeight="1">
      <c r="A46" s="409" t="s">
        <v>219</v>
      </c>
      <c r="B46" s="509"/>
      <c r="C46" s="122"/>
      <c r="D46" s="899">
        <f>+D31+D45+1</f>
        <v>2421392.24</v>
      </c>
      <c r="E46" s="127"/>
      <c r="F46" s="120"/>
    </row>
    <row r="47" spans="1:6" s="18" customFormat="1" ht="15" customHeight="1">
      <c r="A47" s="409" t="s">
        <v>58</v>
      </c>
      <c r="B47" s="509"/>
      <c r="C47" s="122"/>
      <c r="D47" s="900">
        <f>D16-D31-D45-1</f>
        <v>1011992.6500000013</v>
      </c>
      <c r="E47" s="48"/>
      <c r="F47" s="127"/>
    </row>
    <row r="48" spans="1:6" s="18" customFormat="1" ht="15" customHeight="1">
      <c r="A48" s="410" t="s">
        <v>266</v>
      </c>
      <c r="B48" s="509"/>
      <c r="C48" s="122">
        <f>-'[7]2Q09 Trial Balance'!D268-C51</f>
        <v>102643.92999999998</v>
      </c>
      <c r="D48" s="897"/>
      <c r="E48" s="114"/>
      <c r="F48" s="114"/>
    </row>
    <row r="49" spans="1:5" s="18" customFormat="1" ht="15" customHeight="1">
      <c r="A49" s="410" t="s">
        <v>440</v>
      </c>
      <c r="B49" s="509">
        <f>'[7]2Q09 Trial Balance'!F24</f>
        <v>42677.83</v>
      </c>
      <c r="C49" s="122"/>
      <c r="D49" s="897"/>
      <c r="E49" s="127"/>
    </row>
    <row r="50" spans="1:5" s="18" customFormat="1" ht="15" customHeight="1">
      <c r="A50" s="410" t="s">
        <v>441</v>
      </c>
      <c r="B50" s="511">
        <v>92031.31</v>
      </c>
      <c r="C50" s="122" t="s">
        <v>330</v>
      </c>
      <c r="D50" s="897"/>
      <c r="E50" s="127"/>
    </row>
    <row r="51" spans="1:5" s="18" customFormat="1" ht="15" customHeight="1">
      <c r="A51" s="410" t="s">
        <v>442</v>
      </c>
      <c r="B51" s="509"/>
      <c r="C51" s="918">
        <f>B49-B50</f>
        <v>-49353.479999999996</v>
      </c>
      <c r="D51" s="897"/>
      <c r="E51" s="127"/>
    </row>
    <row r="52" spans="1:5" s="18" customFormat="1" ht="15" customHeight="1">
      <c r="A52" s="409" t="s">
        <v>267</v>
      </c>
      <c r="B52" s="509"/>
      <c r="C52" s="122"/>
      <c r="D52" s="898">
        <f>C48+C51+1</f>
        <v>53291.44999999998</v>
      </c>
      <c r="E52" s="127"/>
    </row>
    <row r="53" spans="1:6" s="18" customFormat="1" ht="15" customHeight="1">
      <c r="A53" s="411"/>
      <c r="B53" s="509"/>
      <c r="C53" s="122"/>
      <c r="D53" s="897"/>
      <c r="E53" s="127"/>
      <c r="F53" s="114"/>
    </row>
    <row r="54" spans="1:6" s="18" customFormat="1" ht="15" customHeight="1">
      <c r="A54" s="412" t="s">
        <v>59</v>
      </c>
      <c r="B54" s="511"/>
      <c r="C54" s="512"/>
      <c r="D54" s="899">
        <f>D47+D52</f>
        <v>1065284.1000000013</v>
      </c>
      <c r="E54" s="48"/>
      <c r="F54" s="340"/>
    </row>
    <row r="55" spans="1:5" s="18" customFormat="1" ht="15" customHeight="1">
      <c r="A55" s="413"/>
      <c r="B55" s="793"/>
      <c r="C55" s="793"/>
      <c r="D55" s="903"/>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39"/>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39"/>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992" t="s">
        <v>320</v>
      </c>
      <c r="B1" s="993"/>
      <c r="C1" s="993"/>
      <c r="D1" s="994"/>
      <c r="E1" s="769"/>
    </row>
    <row r="2" spans="1:5" s="45" customFormat="1" ht="15" customHeight="1">
      <c r="A2" s="995"/>
      <c r="B2" s="996"/>
      <c r="C2" s="996"/>
      <c r="D2" s="997"/>
      <c r="E2" s="770"/>
    </row>
    <row r="3" spans="1:5" s="45" customFormat="1" ht="15" customHeight="1">
      <c r="A3" s="989" t="s">
        <v>283</v>
      </c>
      <c r="B3" s="990"/>
      <c r="C3" s="990"/>
      <c r="D3" s="991"/>
      <c r="E3" s="770"/>
    </row>
    <row r="4" spans="1:5" s="45" customFormat="1" ht="15" customHeight="1">
      <c r="A4" s="989" t="s">
        <v>382</v>
      </c>
      <c r="B4" s="990"/>
      <c r="C4" s="990"/>
      <c r="D4" s="991"/>
      <c r="E4" s="770"/>
    </row>
    <row r="5" spans="1:5" s="45" customFormat="1" ht="15" customHeight="1">
      <c r="A5" s="989" t="s">
        <v>7</v>
      </c>
      <c r="B5" s="990"/>
      <c r="C5" s="990"/>
      <c r="D5" s="991"/>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383</v>
      </c>
      <c r="B8" s="879" t="s">
        <v>8</v>
      </c>
      <c r="C8" s="880"/>
      <c r="D8" s="881"/>
      <c r="E8" s="127"/>
    </row>
    <row r="9" spans="1:5" s="18" customFormat="1" ht="15" customHeight="1">
      <c r="A9" s="407"/>
      <c r="B9" s="882" t="s">
        <v>88</v>
      </c>
      <c r="C9" s="883"/>
      <c r="D9" s="884"/>
      <c r="E9" s="127"/>
    </row>
    <row r="10" spans="1:5" s="18" customFormat="1" ht="15" customHeight="1">
      <c r="A10" s="408"/>
      <c r="B10" s="790" t="s">
        <v>330</v>
      </c>
      <c r="C10" s="791"/>
      <c r="D10" s="897"/>
      <c r="E10" s="127"/>
    </row>
    <row r="11" spans="1:5" s="18" customFormat="1" ht="15" customHeight="1">
      <c r="A11" s="409" t="s">
        <v>384</v>
      </c>
      <c r="B11" s="509"/>
      <c r="C11" s="477">
        <f>'Premiums YTD-8'!G12</f>
        <v>6441528</v>
      </c>
      <c r="D11" s="897"/>
      <c r="E11" s="127"/>
    </row>
    <row r="12" spans="1:5" s="18" customFormat="1" ht="15" customHeight="1">
      <c r="A12" s="409"/>
      <c r="B12" s="509"/>
      <c r="C12" s="485"/>
      <c r="D12" s="897"/>
      <c r="E12" s="127"/>
    </row>
    <row r="13" spans="1:5" s="18" customFormat="1" ht="15" customHeight="1">
      <c r="A13" s="410" t="s">
        <v>385</v>
      </c>
      <c r="B13" s="509">
        <f>'Premiums YTD-8'!G18</f>
        <v>6636419.079999999</v>
      </c>
      <c r="C13" s="122"/>
      <c r="D13" s="897"/>
      <c r="E13" s="127"/>
    </row>
    <row r="14" spans="1:5" s="18" customFormat="1" ht="15" customHeight="1">
      <c r="A14" s="410" t="s">
        <v>404</v>
      </c>
      <c r="B14" s="511">
        <v>7152001</v>
      </c>
      <c r="C14" s="122"/>
      <c r="D14" s="897"/>
      <c r="E14" s="127"/>
    </row>
    <row r="15" spans="1:5" s="18" customFormat="1" ht="15" customHeight="1">
      <c r="A15" s="410" t="s">
        <v>405</v>
      </c>
      <c r="B15" s="509"/>
      <c r="C15" s="512">
        <f>B14-B13</f>
        <v>515581.92000000086</v>
      </c>
      <c r="D15" s="897"/>
      <c r="E15" s="127"/>
    </row>
    <row r="16" spans="1:5" s="18" customFormat="1" ht="15" customHeight="1">
      <c r="A16" s="409" t="s">
        <v>406</v>
      </c>
      <c r="B16" s="509"/>
      <c r="C16" s="122"/>
      <c r="D16" s="899">
        <f>C11+C15</f>
        <v>6957109.920000001</v>
      </c>
      <c r="E16" s="127"/>
    </row>
    <row r="17" spans="1:4" s="18" customFormat="1" ht="15" customHeight="1">
      <c r="A17" s="410" t="s">
        <v>407</v>
      </c>
      <c r="B17" s="509"/>
      <c r="C17" s="122">
        <f>'[7]Loss Expenses Paid YTD-16'!E42</f>
        <v>3795827.1100000003</v>
      </c>
      <c r="D17" s="897"/>
    </row>
    <row r="18" spans="1:4" s="18" customFormat="1" ht="15" customHeight="1">
      <c r="A18" s="410" t="s">
        <v>146</v>
      </c>
      <c r="B18" s="509"/>
      <c r="C18" s="512">
        <f>-'[7]2Q09 Trial Balance'!F297</f>
        <v>78322.06999999999</v>
      </c>
      <c r="D18" s="897"/>
    </row>
    <row r="19" spans="1:5" s="18" customFormat="1" ht="15" customHeight="1">
      <c r="A19" s="409" t="s">
        <v>409</v>
      </c>
      <c r="B19" s="509"/>
      <c r="C19" s="122">
        <f>C17-C18</f>
        <v>3717505.0400000005</v>
      </c>
      <c r="D19" s="897"/>
      <c r="E19" s="127"/>
    </row>
    <row r="20" spans="1:5" s="18" customFormat="1" ht="15" customHeight="1">
      <c r="A20" s="410" t="s">
        <v>410</v>
      </c>
      <c r="B20" s="509">
        <f>'Losses Incurred YTD-10'!G18+'Losses Incurred YTD-10'!G24</f>
        <v>2369377.85</v>
      </c>
      <c r="C20" s="122" t="s">
        <v>330</v>
      </c>
      <c r="D20" s="897"/>
      <c r="E20" s="127"/>
    </row>
    <row r="21" spans="1:5" s="18" customFormat="1" ht="15" customHeight="1">
      <c r="A21" s="410" t="s">
        <v>411</v>
      </c>
      <c r="B21" s="511">
        <v>3245788</v>
      </c>
      <c r="C21" s="122"/>
      <c r="D21" s="897"/>
      <c r="E21" s="127"/>
    </row>
    <row r="22" spans="1:5" s="18" customFormat="1" ht="15" customHeight="1">
      <c r="A22" s="410" t="s">
        <v>412</v>
      </c>
      <c r="B22" s="514"/>
      <c r="C22" s="918">
        <f>B20-B21</f>
        <v>-876410.1499999999</v>
      </c>
      <c r="D22" s="897"/>
      <c r="E22" s="127"/>
    </row>
    <row r="23" spans="1:6" s="18" customFormat="1" ht="15" customHeight="1">
      <c r="A23" s="409" t="s">
        <v>413</v>
      </c>
      <c r="B23" s="509"/>
      <c r="C23" s="122"/>
      <c r="D23" s="897">
        <f>C19+C22</f>
        <v>2841094.8900000006</v>
      </c>
      <c r="E23" s="122"/>
      <c r="F23" s="114"/>
    </row>
    <row r="24" spans="1:5" s="18" customFormat="1" ht="15" customHeight="1">
      <c r="A24" s="410" t="s">
        <v>414</v>
      </c>
      <c r="B24" s="509"/>
      <c r="C24" s="122">
        <f>'[7]Loss Expenses Paid YTD-16'!C42</f>
        <v>298669.83999999997</v>
      </c>
      <c r="D24" s="897"/>
      <c r="E24" s="334"/>
    </row>
    <row r="25" spans="1:5" s="18" customFormat="1" ht="15" customHeight="1">
      <c r="A25" s="410" t="s">
        <v>415</v>
      </c>
      <c r="B25" s="509"/>
      <c r="C25" s="512">
        <f>'[7]Loss Expenses Paid YTD-16'!I42</f>
        <v>297392.89999999997</v>
      </c>
      <c r="D25" s="897"/>
      <c r="E25" s="334"/>
    </row>
    <row r="26" spans="1:5" s="18" customFormat="1" ht="15" customHeight="1">
      <c r="A26" s="409" t="s">
        <v>416</v>
      </c>
      <c r="B26" s="509"/>
      <c r="C26" s="122">
        <f>C24+C25</f>
        <v>596062.74</v>
      </c>
      <c r="D26" s="897"/>
      <c r="E26" s="122"/>
    </row>
    <row r="27" spans="1:5" s="18" customFormat="1" ht="15" customHeight="1">
      <c r="A27" s="410" t="s">
        <v>417</v>
      </c>
      <c r="B27" s="509">
        <f>'Loss Expenses YTD-12'!G18</f>
        <v>337249.54</v>
      </c>
      <c r="C27" s="122"/>
      <c r="D27" s="897"/>
      <c r="E27" s="334"/>
    </row>
    <row r="28" spans="1:5" s="18" customFormat="1" ht="15" customHeight="1">
      <c r="A28" s="410" t="s">
        <v>418</v>
      </c>
      <c r="B28" s="511">
        <v>433987</v>
      </c>
      <c r="C28" s="122"/>
      <c r="D28" s="897"/>
      <c r="E28" s="122"/>
    </row>
    <row r="29" spans="1:7" s="18" customFormat="1" ht="15" customHeight="1">
      <c r="A29" s="410" t="s">
        <v>419</v>
      </c>
      <c r="B29" s="509"/>
      <c r="C29" s="918">
        <f>B27-B28</f>
        <v>-96737.46000000002</v>
      </c>
      <c r="D29" s="897"/>
      <c r="E29" s="334"/>
      <c r="G29" s="114"/>
    </row>
    <row r="30" spans="1:6" s="18" customFormat="1" ht="15" customHeight="1">
      <c r="A30" s="409" t="s">
        <v>420</v>
      </c>
      <c r="B30" s="509"/>
      <c r="C30" s="122"/>
      <c r="D30" s="898">
        <f>C26+C29+1</f>
        <v>499326.27999999997</v>
      </c>
      <c r="E30" s="122"/>
      <c r="F30" s="114"/>
    </row>
    <row r="31" spans="1:6" s="18" customFormat="1" ht="15" customHeight="1">
      <c r="A31" s="409" t="s">
        <v>421</v>
      </c>
      <c r="B31" s="509"/>
      <c r="C31" s="122"/>
      <c r="D31" s="900">
        <f>D23+D30</f>
        <v>3340421.1700000004</v>
      </c>
      <c r="E31" s="122"/>
      <c r="F31" s="114"/>
    </row>
    <row r="32" spans="1:6" s="18" customFormat="1" ht="15" customHeight="1">
      <c r="A32" s="410" t="s">
        <v>422</v>
      </c>
      <c r="B32" s="509"/>
      <c r="C32" s="122">
        <f>19251.52+4474.57+9722.52+20250</f>
        <v>53698.61</v>
      </c>
      <c r="D32" s="897"/>
      <c r="E32" s="334"/>
      <c r="F32" s="114"/>
    </row>
    <row r="33" spans="1:7" s="18" customFormat="1" ht="15" customHeight="1">
      <c r="A33" s="410" t="s">
        <v>423</v>
      </c>
      <c r="B33" s="509">
        <f>-'[7]2Q09 Trial Balance'!F145</f>
        <v>17092.15</v>
      </c>
      <c r="C33" s="122"/>
      <c r="D33" s="897"/>
      <c r="E33" s="127"/>
      <c r="G33" s="114"/>
    </row>
    <row r="34" spans="1:7" s="18" customFormat="1" ht="15" customHeight="1">
      <c r="A34" s="410" t="s">
        <v>424</v>
      </c>
      <c r="B34" s="511">
        <v>40035</v>
      </c>
      <c r="C34" s="122" t="s">
        <v>330</v>
      </c>
      <c r="D34" s="897"/>
      <c r="E34" s="127"/>
      <c r="G34" s="114"/>
    </row>
    <row r="35" spans="1:5" s="18" customFormat="1" ht="15" customHeight="1">
      <c r="A35" s="410" t="s">
        <v>129</v>
      </c>
      <c r="B35" s="509"/>
      <c r="C35" s="918">
        <f>B33-B34</f>
        <v>-22942.85</v>
      </c>
      <c r="D35" s="897"/>
      <c r="E35" s="127"/>
    </row>
    <row r="36" spans="1:6" s="18" customFormat="1" ht="15" customHeight="1">
      <c r="A36" s="409" t="s">
        <v>130</v>
      </c>
      <c r="B36" s="509"/>
      <c r="C36" s="122" t="s">
        <v>330</v>
      </c>
      <c r="D36" s="897">
        <f>C32+C35</f>
        <v>30755.760000000002</v>
      </c>
      <c r="E36" s="127"/>
      <c r="F36" s="114"/>
    </row>
    <row r="37" spans="1:5" s="18" customFormat="1" ht="15" customHeight="1">
      <c r="A37" s="410" t="s">
        <v>55</v>
      </c>
      <c r="B37" s="509"/>
      <c r="C37" s="122">
        <f>'[7]2Q09 Trial Balance'!F426</f>
        <v>570504.55</v>
      </c>
      <c r="D37" s="897"/>
      <c r="E37" s="127"/>
    </row>
    <row r="38" spans="1:5" s="18" customFormat="1" ht="15" customHeight="1">
      <c r="A38" s="410" t="s">
        <v>34</v>
      </c>
      <c r="B38" s="509"/>
      <c r="C38" s="122">
        <f>'[7]2Q09 Trial Balance'!F437</f>
        <v>86296.3</v>
      </c>
      <c r="D38" s="897"/>
      <c r="E38" s="771"/>
    </row>
    <row r="39" spans="1:6" s="18" customFormat="1" ht="15" customHeight="1">
      <c r="A39" s="410" t="s">
        <v>215</v>
      </c>
      <c r="B39" s="509"/>
      <c r="C39" s="512">
        <f>'[7]2Q09 Trial Balance'!F752-C43-2</f>
        <v>1951024.2299999993</v>
      </c>
      <c r="D39" s="897"/>
      <c r="E39" s="771"/>
      <c r="F39" s="127"/>
    </row>
    <row r="40" spans="1:6" s="18" customFormat="1" ht="15" customHeight="1">
      <c r="A40" s="409" t="s">
        <v>216</v>
      </c>
      <c r="B40" s="509"/>
      <c r="C40" s="122">
        <f>SUM(C37:C39)</f>
        <v>2607825.079999999</v>
      </c>
      <c r="D40" s="897"/>
      <c r="E40" s="771"/>
      <c r="F40" s="127"/>
    </row>
    <row r="41" spans="1:5" s="18" customFormat="1" ht="15" customHeight="1">
      <c r="A41" s="410" t="s">
        <v>423</v>
      </c>
      <c r="B41" s="509">
        <f>-'[7]2Q09 Trial Balance'!F161</f>
        <v>178226.86000000002</v>
      </c>
      <c r="C41" s="122"/>
      <c r="D41" s="897"/>
      <c r="E41" s="771"/>
    </row>
    <row r="42" spans="1:5" s="18" customFormat="1" ht="15" customHeight="1">
      <c r="A42" s="410" t="s">
        <v>424</v>
      </c>
      <c r="B42" s="511">
        <v>175045</v>
      </c>
      <c r="C42" s="122" t="s">
        <v>330</v>
      </c>
      <c r="D42" s="897"/>
      <c r="E42" s="127"/>
    </row>
    <row r="43" spans="1:5" s="18" customFormat="1" ht="15" customHeight="1">
      <c r="A43" s="410" t="s">
        <v>217</v>
      </c>
      <c r="B43" s="509"/>
      <c r="C43" s="918">
        <f>+B41-B42</f>
        <v>3181.860000000015</v>
      </c>
      <c r="D43" s="897"/>
      <c r="E43" s="127"/>
    </row>
    <row r="44" spans="1:6" s="18" customFormat="1" ht="15" customHeight="1">
      <c r="A44" s="409" t="s">
        <v>284</v>
      </c>
      <c r="B44" s="509"/>
      <c r="C44" s="122"/>
      <c r="D44" s="898">
        <f>SUM(C40:C43)</f>
        <v>2611006.939999999</v>
      </c>
      <c r="E44" s="127"/>
      <c r="F44" s="127"/>
    </row>
    <row r="45" spans="1:6" s="18" customFormat="1" ht="15" customHeight="1">
      <c r="A45" s="409" t="s">
        <v>218</v>
      </c>
      <c r="B45" s="509"/>
      <c r="C45" s="122"/>
      <c r="D45" s="901">
        <f>SUM(D36:D44)</f>
        <v>2641762.699999999</v>
      </c>
      <c r="E45" s="127"/>
      <c r="F45" s="120"/>
    </row>
    <row r="46" spans="1:6" s="18" customFormat="1" ht="15" customHeight="1">
      <c r="A46" s="409" t="s">
        <v>219</v>
      </c>
      <c r="B46" s="509"/>
      <c r="C46" s="122"/>
      <c r="D46" s="899">
        <f>+D31+D45</f>
        <v>5982183.869999999</v>
      </c>
      <c r="E46" s="127"/>
      <c r="F46" s="120"/>
    </row>
    <row r="47" spans="1:6" s="18" customFormat="1" ht="15" customHeight="1">
      <c r="A47" s="409" t="s">
        <v>58</v>
      </c>
      <c r="B47" s="509"/>
      <c r="C47" s="122"/>
      <c r="D47" s="900">
        <f>D16-D31-D45</f>
        <v>974926.0500000017</v>
      </c>
      <c r="E47" s="48"/>
      <c r="F47" s="127"/>
    </row>
    <row r="48" spans="1:6" s="18" customFormat="1" ht="15" customHeight="1">
      <c r="A48" s="410" t="s">
        <v>266</v>
      </c>
      <c r="B48" s="509"/>
      <c r="C48" s="122">
        <f>-'[7]2Q09 Trial Balance'!F268-C51</f>
        <v>171261.76999999996</v>
      </c>
      <c r="D48" s="897"/>
      <c r="E48" s="114"/>
      <c r="F48" s="114"/>
    </row>
    <row r="49" spans="1:5" s="18" customFormat="1" ht="15" customHeight="1">
      <c r="A49" s="410" t="s">
        <v>440</v>
      </c>
      <c r="B49" s="509">
        <f>'[7]2Q09 Trial Balance'!F24</f>
        <v>42677.83</v>
      </c>
      <c r="C49" s="122"/>
      <c r="D49" s="897"/>
      <c r="E49" s="127"/>
    </row>
    <row r="50" spans="1:5" s="18" customFormat="1" ht="15" customHeight="1">
      <c r="A50" s="410" t="s">
        <v>441</v>
      </c>
      <c r="B50" s="511">
        <v>72361</v>
      </c>
      <c r="C50" s="122" t="s">
        <v>330</v>
      </c>
      <c r="D50" s="897"/>
      <c r="E50" s="127"/>
    </row>
    <row r="51" spans="1:5" s="18" customFormat="1" ht="15" customHeight="1">
      <c r="A51" s="410" t="s">
        <v>442</v>
      </c>
      <c r="B51" s="509"/>
      <c r="C51" s="918">
        <f>B49-B50</f>
        <v>-29683.17</v>
      </c>
      <c r="D51" s="897"/>
      <c r="E51" s="127"/>
    </row>
    <row r="52" spans="1:5" s="18" customFormat="1" ht="15" customHeight="1">
      <c r="A52" s="409" t="s">
        <v>267</v>
      </c>
      <c r="B52" s="509"/>
      <c r="C52" s="122"/>
      <c r="D52" s="898">
        <f>C48+C51</f>
        <v>141578.59999999998</v>
      </c>
      <c r="E52" s="127"/>
    </row>
    <row r="53" spans="1:6" s="18" customFormat="1" ht="15" customHeight="1">
      <c r="A53" s="411"/>
      <c r="B53" s="509"/>
      <c r="C53" s="122"/>
      <c r="D53" s="897"/>
      <c r="E53" s="127"/>
      <c r="F53" s="114"/>
    </row>
    <row r="54" spans="1:6" s="18" customFormat="1" ht="15" customHeight="1">
      <c r="A54" s="412" t="s">
        <v>59</v>
      </c>
      <c r="B54" s="511"/>
      <c r="C54" s="512"/>
      <c r="D54" s="899">
        <f>D47+D52</f>
        <v>1116504.6500000018</v>
      </c>
      <c r="E54" s="48"/>
      <c r="F54" s="340"/>
    </row>
    <row r="55" spans="1:5" s="18" customFormat="1" ht="15" customHeight="1">
      <c r="A55" s="413"/>
      <c r="B55" s="793"/>
      <c r="C55" s="793"/>
      <c r="D55" s="903"/>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39"/>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39"/>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22" t="s">
        <v>320</v>
      </c>
      <c r="B1" s="423"/>
      <c r="C1" s="423"/>
      <c r="D1" s="423"/>
      <c r="E1" s="423"/>
      <c r="F1" s="423"/>
      <c r="G1" s="424"/>
    </row>
    <row r="2" spans="1:7" s="98" customFormat="1" ht="15" customHeight="1">
      <c r="A2" s="425"/>
      <c r="B2" s="426"/>
      <c r="C2" s="426"/>
      <c r="D2" s="426"/>
      <c r="E2" s="426"/>
      <c r="F2" s="426"/>
      <c r="G2" s="427"/>
    </row>
    <row r="3" spans="1:7" ht="15" customHeight="1">
      <c r="A3" s="840" t="s">
        <v>443</v>
      </c>
      <c r="B3" s="841"/>
      <c r="C3" s="841"/>
      <c r="D3" s="841"/>
      <c r="E3" s="841"/>
      <c r="F3" s="841"/>
      <c r="G3" s="842"/>
    </row>
    <row r="4" spans="1:7" ht="15" customHeight="1">
      <c r="A4" s="840" t="s">
        <v>6</v>
      </c>
      <c r="B4" s="841"/>
      <c r="C4" s="841"/>
      <c r="D4" s="841"/>
      <c r="E4" s="841"/>
      <c r="F4" s="841"/>
      <c r="G4" s="842"/>
    </row>
    <row r="5" spans="1:7" s="14" customFormat="1" ht="15" customHeight="1">
      <c r="A5" s="429"/>
      <c r="B5" s="430"/>
      <c r="C5" s="430"/>
      <c r="D5" s="430"/>
      <c r="E5" s="430"/>
      <c r="F5" s="430"/>
      <c r="G5" s="430"/>
    </row>
    <row r="6" spans="2:7" s="14" customFormat="1" ht="30" customHeight="1">
      <c r="B6" s="875" t="s">
        <v>16</v>
      </c>
      <c r="C6" s="875" t="s">
        <v>67</v>
      </c>
      <c r="D6" s="875" t="s">
        <v>62</v>
      </c>
      <c r="E6" s="875" t="s">
        <v>70</v>
      </c>
      <c r="F6" s="876" t="s">
        <v>17</v>
      </c>
      <c r="G6" s="878" t="s">
        <v>321</v>
      </c>
    </row>
    <row r="7" spans="1:7" s="99" customFormat="1" ht="15" customHeight="1">
      <c r="A7" s="431" t="s">
        <v>149</v>
      </c>
      <c r="B7" s="476"/>
      <c r="C7" s="476"/>
      <c r="D7" s="476"/>
      <c r="E7" s="476"/>
      <c r="F7" s="126"/>
      <c r="G7" s="476"/>
    </row>
    <row r="8" spans="1:7" s="14" customFormat="1" ht="15" customHeight="1">
      <c r="A8" s="432" t="s">
        <v>444</v>
      </c>
      <c r="B8" s="372"/>
      <c r="C8" s="372"/>
      <c r="D8" s="372"/>
      <c r="E8" s="372"/>
      <c r="F8" s="372"/>
      <c r="G8" s="372"/>
    </row>
    <row r="9" spans="1:7" s="99" customFormat="1" ht="15" customHeight="1">
      <c r="A9" s="371" t="s">
        <v>41</v>
      </c>
      <c r="B9" s="907">
        <f>-'[7]2Q09 Trial Balance'!C236</f>
        <v>2642190</v>
      </c>
      <c r="C9" s="907">
        <f>-'[7]2Q09 Trial Balance'!C232</f>
        <v>-27402</v>
      </c>
      <c r="D9" s="907">
        <f>-'[7]2Q09 Trial Balance'!C229</f>
        <v>-1974</v>
      </c>
      <c r="E9" s="907">
        <f>-'[7]2Q09 Trial Balance'!C226</f>
        <v>-1750</v>
      </c>
      <c r="F9" s="907">
        <f>-'[7]2Q09 Trial Balance'!C223</f>
        <v>-1670</v>
      </c>
      <c r="G9" s="907">
        <f>SUM(B9:F9)</f>
        <v>2609394</v>
      </c>
    </row>
    <row r="10" spans="1:7" s="14" customFormat="1" ht="15" customHeight="1">
      <c r="A10" s="371" t="s">
        <v>458</v>
      </c>
      <c r="B10" s="126">
        <f>-'[7]2Q09 Trial Balance'!C237</f>
        <v>800232</v>
      </c>
      <c r="C10" s="911">
        <f>-'[7]2Q09 Trial Balance'!C233</f>
        <v>-10281</v>
      </c>
      <c r="D10" s="911">
        <f>-'[7]2Q09 Trial Balance'!C230</f>
        <v>-585</v>
      </c>
      <c r="E10" s="911">
        <f>-'[7]2Q09 Trial Balance'!C227</f>
        <v>-524</v>
      </c>
      <c r="F10" s="911">
        <f>-'[7]2Q09 Trial Balance'!C224</f>
        <v>-524</v>
      </c>
      <c r="G10" s="485">
        <f>SUM(B10:F10)</f>
        <v>788318</v>
      </c>
    </row>
    <row r="11" spans="1:7" s="14" customFormat="1" ht="15" customHeight="1">
      <c r="A11" s="371" t="s">
        <v>459</v>
      </c>
      <c r="B11" s="126">
        <f>-'[7]2Q09 Trial Balance'!C238</f>
        <v>9437</v>
      </c>
      <c r="C11" s="911">
        <f>-'[7]2Q09 Trial Balance'!C234</f>
        <v>-153</v>
      </c>
      <c r="D11" s="589">
        <v>0</v>
      </c>
      <c r="E11" s="589">
        <v>0</v>
      </c>
      <c r="F11" s="589">
        <v>0</v>
      </c>
      <c r="G11" s="485">
        <f>SUM(B11:F11)</f>
        <v>9284</v>
      </c>
    </row>
    <row r="12" spans="1:7" s="24" customFormat="1" ht="15" customHeight="1" thickBot="1">
      <c r="A12" s="433" t="s">
        <v>448</v>
      </c>
      <c r="B12" s="138">
        <f aca="true" t="shared" si="0" ref="B12:G12">SUM(B9:B11)</f>
        <v>3451859</v>
      </c>
      <c r="C12" s="917">
        <f t="shared" si="0"/>
        <v>-37836</v>
      </c>
      <c r="D12" s="917">
        <f t="shared" si="0"/>
        <v>-2559</v>
      </c>
      <c r="E12" s="917">
        <f t="shared" si="0"/>
        <v>-2274</v>
      </c>
      <c r="F12" s="917">
        <f t="shared" si="0"/>
        <v>-2194</v>
      </c>
      <c r="G12" s="767">
        <f t="shared" si="0"/>
        <v>3406996</v>
      </c>
    </row>
    <row r="13" spans="1:7" s="24" customFormat="1" ht="15" customHeight="1" thickTop="1">
      <c r="A13" s="371"/>
      <c r="B13" s="126"/>
      <c r="C13" s="126"/>
      <c r="D13" s="126"/>
      <c r="E13" s="126"/>
      <c r="F13" s="126"/>
      <c r="G13" s="256"/>
    </row>
    <row r="14" spans="1:7" s="24" customFormat="1" ht="30" customHeight="1">
      <c r="A14" s="432" t="s">
        <v>12</v>
      </c>
      <c r="B14" s="126"/>
      <c r="C14" s="126"/>
      <c r="D14" s="126"/>
      <c r="E14" s="126"/>
      <c r="F14" s="126"/>
      <c r="G14" s="126"/>
    </row>
    <row r="15" spans="1:7" s="24" customFormat="1" ht="15" customHeight="1">
      <c r="A15" s="371" t="s">
        <v>41</v>
      </c>
      <c r="B15" s="126">
        <f>'Premiums YTD-8'!B15</f>
        <v>3777212.11</v>
      </c>
      <c r="C15" s="126">
        <f>'Premiums YTD-8'!C15</f>
        <v>1313645.58</v>
      </c>
      <c r="D15" s="589">
        <f>'Premiums YTD-8'!D15</f>
        <v>0</v>
      </c>
      <c r="E15" s="589">
        <f>'Premiums YTD-8'!E15</f>
        <v>0</v>
      </c>
      <c r="F15" s="589">
        <f>'Premiums YTD-8'!F15</f>
        <v>0</v>
      </c>
      <c r="G15" s="485">
        <f>SUM(B15:F15)</f>
        <v>5090857.6899999995</v>
      </c>
    </row>
    <row r="16" spans="1:7" s="24" customFormat="1" ht="15" customHeight="1">
      <c r="A16" s="371" t="s">
        <v>86</v>
      </c>
      <c r="B16" s="126">
        <f>'Premiums YTD-8'!B16</f>
        <v>1126321.7</v>
      </c>
      <c r="C16" s="126">
        <f>'Premiums YTD-8'!C16</f>
        <v>401729.9</v>
      </c>
      <c r="D16" s="126">
        <f>'Premiums YTD-8'!D16</f>
        <v>0</v>
      </c>
      <c r="E16" s="126">
        <f>'Premiums YTD-8'!E16</f>
        <v>0</v>
      </c>
      <c r="F16" s="126">
        <f>'Premiums YTD-8'!F16</f>
        <v>0</v>
      </c>
      <c r="G16" s="485">
        <f>SUM(B16:F16)</f>
        <v>1528051.6</v>
      </c>
    </row>
    <row r="17" spans="1:7" s="24" customFormat="1" ht="15" customHeight="1">
      <c r="A17" s="371" t="s">
        <v>471</v>
      </c>
      <c r="B17" s="126">
        <f>'Premiums YTD-8'!B17</f>
        <v>12463.04</v>
      </c>
      <c r="C17" s="126">
        <f>'Premiums YTD-8'!C17</f>
        <v>5045.75</v>
      </c>
      <c r="D17" s="126">
        <f>'Premiums YTD-8'!D17</f>
        <v>0</v>
      </c>
      <c r="E17" s="126">
        <f>'Premiums YTD-8'!E17</f>
        <v>0</v>
      </c>
      <c r="F17" s="126">
        <f>'Premiums YTD-8'!F17</f>
        <v>0</v>
      </c>
      <c r="G17" s="766">
        <f>SUM(B17:F17)</f>
        <v>17508.79</v>
      </c>
    </row>
    <row r="18" spans="1:7" s="24" customFormat="1" ht="15" customHeight="1" thickBot="1">
      <c r="A18" s="433" t="s">
        <v>448</v>
      </c>
      <c r="B18" s="138">
        <f>SUM(B15:B17)</f>
        <v>4915996.85</v>
      </c>
      <c r="C18" s="138">
        <f>SUM(C15:C17)+1</f>
        <v>1720422.23</v>
      </c>
      <c r="D18" s="138">
        <f>SUM(D15:D17)</f>
        <v>0</v>
      </c>
      <c r="E18" s="138">
        <f>SUM(E15:E17)</f>
        <v>0</v>
      </c>
      <c r="F18" s="138">
        <v>0</v>
      </c>
      <c r="G18" s="767">
        <f>SUM(G15:G17)+1</f>
        <v>6636419.079999999</v>
      </c>
    </row>
    <row r="19" spans="1:7" s="24" customFormat="1" ht="15" customHeight="1" thickTop="1">
      <c r="A19" s="371"/>
      <c r="B19" s="126"/>
      <c r="C19" s="126"/>
      <c r="D19" s="126"/>
      <c r="E19" s="126"/>
      <c r="F19" s="126"/>
      <c r="G19" s="256"/>
    </row>
    <row r="20" spans="1:7" s="24" customFormat="1" ht="30" customHeight="1">
      <c r="A20" s="432" t="s">
        <v>25</v>
      </c>
      <c r="B20" s="312"/>
      <c r="C20" s="312"/>
      <c r="D20" s="312"/>
      <c r="E20" s="312"/>
      <c r="F20" s="126"/>
      <c r="G20" s="126"/>
    </row>
    <row r="21" spans="1:7" s="24" customFormat="1" ht="15" customHeight="1">
      <c r="A21" s="371" t="s">
        <v>41</v>
      </c>
      <c r="B21" s="126">
        <v>2072124.26</v>
      </c>
      <c r="C21" s="126">
        <v>3034862.22</v>
      </c>
      <c r="D21" s="589">
        <v>0</v>
      </c>
      <c r="E21" s="589">
        <v>0</v>
      </c>
      <c r="F21" s="589">
        <v>0</v>
      </c>
      <c r="G21" s="485">
        <f>SUM(B21:F21)</f>
        <v>5106986.48</v>
      </c>
    </row>
    <row r="22" spans="1:7" s="24" customFormat="1" ht="15" customHeight="1">
      <c r="A22" s="371" t="s">
        <v>458</v>
      </c>
      <c r="B22" s="126">
        <v>600227.47</v>
      </c>
      <c r="C22" s="126">
        <v>937340.6</v>
      </c>
      <c r="D22" s="126">
        <v>0</v>
      </c>
      <c r="E22" s="126">
        <v>0</v>
      </c>
      <c r="F22" s="126">
        <v>0</v>
      </c>
      <c r="G22" s="485">
        <f>SUM(B22:F22)</f>
        <v>1537568.0699999998</v>
      </c>
    </row>
    <row r="23" spans="1:7" s="24" customFormat="1" ht="15" customHeight="1">
      <c r="A23" s="371" t="s">
        <v>459</v>
      </c>
      <c r="B23" s="126">
        <v>5985.81</v>
      </c>
      <c r="C23" s="126">
        <v>12267.61</v>
      </c>
      <c r="D23" s="126">
        <v>0</v>
      </c>
      <c r="E23" s="126">
        <v>0</v>
      </c>
      <c r="F23" s="126">
        <v>0</v>
      </c>
      <c r="G23" s="485">
        <f>SUM(B23:F23)+1</f>
        <v>18254.420000000002</v>
      </c>
    </row>
    <row r="24" spans="1:7" s="24" customFormat="1" ht="15" customHeight="1" thickBot="1">
      <c r="A24" s="433" t="s">
        <v>448</v>
      </c>
      <c r="B24" s="138">
        <f>SUM(B21:B23)-1</f>
        <v>2678336.54</v>
      </c>
      <c r="C24" s="138">
        <f>SUM(C21:C23)+1</f>
        <v>3984471.43</v>
      </c>
      <c r="D24" s="138">
        <f>SUM(D21:D23)</f>
        <v>0</v>
      </c>
      <c r="E24" s="138">
        <f>SUM(E21:E23)</f>
        <v>0</v>
      </c>
      <c r="F24" s="138">
        <f>SUM(F21:F23)</f>
        <v>0</v>
      </c>
      <c r="G24" s="129">
        <f>SUM(B24:F24)</f>
        <v>6662807.970000001</v>
      </c>
    </row>
    <row r="25" spans="1:7" s="782" customFormat="1" ht="15" customHeight="1" thickTop="1">
      <c r="A25" s="434"/>
      <c r="B25" s="126"/>
      <c r="C25" s="126"/>
      <c r="D25" s="126"/>
      <c r="E25" s="126"/>
      <c r="F25" s="126"/>
      <c r="G25" s="781"/>
    </row>
    <row r="26" spans="1:7" s="24" customFormat="1" ht="15" customHeight="1">
      <c r="A26" s="432" t="s">
        <v>449</v>
      </c>
      <c r="B26" s="126"/>
      <c r="C26" s="126"/>
      <c r="D26" s="126"/>
      <c r="E26" s="126"/>
      <c r="F26" s="126"/>
      <c r="G26" s="126"/>
    </row>
    <row r="27" spans="1:7" s="24" customFormat="1" ht="15" customHeight="1">
      <c r="A27" s="371" t="s">
        <v>41</v>
      </c>
      <c r="B27" s="126">
        <f aca="true" t="shared" si="1" ref="B27:F29">B9-(B15-B21)</f>
        <v>937102.1500000001</v>
      </c>
      <c r="C27" s="126">
        <f>C9-(C15-C21)-1</f>
        <v>1693813.6400000001</v>
      </c>
      <c r="D27" s="910">
        <f t="shared" si="1"/>
        <v>-1974</v>
      </c>
      <c r="E27" s="910">
        <f t="shared" si="1"/>
        <v>-1750</v>
      </c>
      <c r="F27" s="910">
        <f t="shared" si="1"/>
        <v>-1670</v>
      </c>
      <c r="G27" s="485">
        <f>SUM(B27:F27)</f>
        <v>2625521.79</v>
      </c>
    </row>
    <row r="28" spans="1:7" s="24" customFormat="1" ht="15" customHeight="1">
      <c r="A28" s="371" t="s">
        <v>458</v>
      </c>
      <c r="B28" s="126">
        <f>B10-(B16-B22)-1</f>
        <v>274136.77</v>
      </c>
      <c r="C28" s="126">
        <f t="shared" si="1"/>
        <v>525329.7</v>
      </c>
      <c r="D28" s="910">
        <f t="shared" si="1"/>
        <v>-585</v>
      </c>
      <c r="E28" s="910">
        <f t="shared" si="1"/>
        <v>-524</v>
      </c>
      <c r="F28" s="910">
        <f t="shared" si="1"/>
        <v>-524</v>
      </c>
      <c r="G28" s="485">
        <f>SUM(B28:F28)+1</f>
        <v>797834.47</v>
      </c>
    </row>
    <row r="29" spans="1:7" s="24" customFormat="1" ht="15" customHeight="1">
      <c r="A29" s="435" t="s">
        <v>459</v>
      </c>
      <c r="B29" s="485">
        <f t="shared" si="1"/>
        <v>2959.7699999999995</v>
      </c>
      <c r="C29" s="485">
        <f t="shared" si="1"/>
        <v>7068.860000000001</v>
      </c>
      <c r="D29" s="485">
        <f t="shared" si="1"/>
        <v>0</v>
      </c>
      <c r="E29" s="485">
        <f t="shared" si="1"/>
        <v>0</v>
      </c>
      <c r="F29" s="126">
        <f t="shared" si="1"/>
        <v>0</v>
      </c>
      <c r="G29" s="485">
        <f>SUM(B29:F29)</f>
        <v>10028.630000000001</v>
      </c>
    </row>
    <row r="30" spans="1:7" s="24" customFormat="1" ht="15" customHeight="1" thickBot="1">
      <c r="A30" s="433" t="s">
        <v>448</v>
      </c>
      <c r="B30" s="544">
        <f aca="true" t="shared" si="2" ref="B30:G30">SUM(B27:B29)</f>
        <v>1214198.6900000002</v>
      </c>
      <c r="C30" s="544">
        <f>SUM(C27:C29)+1</f>
        <v>2226213.1999999997</v>
      </c>
      <c r="D30" s="916">
        <f t="shared" si="2"/>
        <v>-2559</v>
      </c>
      <c r="E30" s="916">
        <f t="shared" si="2"/>
        <v>-2274</v>
      </c>
      <c r="F30" s="916">
        <f t="shared" si="2"/>
        <v>-2194</v>
      </c>
      <c r="G30" s="544">
        <f t="shared" si="2"/>
        <v>3433384.8899999997</v>
      </c>
    </row>
    <row r="31" spans="2:7" s="14" customFormat="1" ht="15" customHeight="1" thickTop="1">
      <c r="B31" s="256"/>
      <c r="C31" s="256"/>
      <c r="D31" s="256"/>
      <c r="E31" s="256"/>
      <c r="F31" s="256"/>
      <c r="G31" s="256"/>
    </row>
    <row r="32" spans="1:7" s="14" customFormat="1" ht="9.75" customHeight="1">
      <c r="A32" s="998" t="s">
        <v>64</v>
      </c>
      <c r="B32" s="999"/>
      <c r="C32" s="999"/>
      <c r="D32" s="999"/>
      <c r="E32" s="998"/>
      <c r="F32" s="998"/>
      <c r="G32" s="998"/>
    </row>
    <row r="33" spans="1:7" s="14" customFormat="1" ht="9.75" customHeight="1">
      <c r="A33" s="998"/>
      <c r="B33" s="999"/>
      <c r="C33" s="999"/>
      <c r="D33" s="999"/>
      <c r="E33" s="998"/>
      <c r="F33" s="998"/>
      <c r="G33" s="998"/>
    </row>
  </sheetData>
  <sheetProtection/>
  <mergeCells count="1">
    <mergeCell ref="A32:G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22" t="s">
        <v>320</v>
      </c>
      <c r="B1" s="423"/>
      <c r="C1" s="423"/>
      <c r="D1" s="423"/>
      <c r="E1" s="423"/>
      <c r="F1" s="423"/>
      <c r="G1" s="424"/>
    </row>
    <row r="2" spans="1:7" s="98" customFormat="1" ht="15" customHeight="1">
      <c r="A2" s="425"/>
      <c r="B2" s="426"/>
      <c r="C2" s="426"/>
      <c r="D2" s="426"/>
      <c r="E2" s="426"/>
      <c r="F2" s="426"/>
      <c r="G2" s="427"/>
    </row>
    <row r="3" spans="1:7" ht="15" customHeight="1">
      <c r="A3" s="840" t="s">
        <v>443</v>
      </c>
      <c r="B3" s="841"/>
      <c r="C3" s="841"/>
      <c r="D3" s="841"/>
      <c r="E3" s="841"/>
      <c r="F3" s="841"/>
      <c r="G3" s="842"/>
    </row>
    <row r="4" spans="1:7" ht="15" customHeight="1">
      <c r="A4" s="840" t="s">
        <v>7</v>
      </c>
      <c r="B4" s="841"/>
      <c r="C4" s="841"/>
      <c r="D4" s="841"/>
      <c r="E4" s="841"/>
      <c r="F4" s="841"/>
      <c r="G4" s="842"/>
    </row>
    <row r="5" spans="1:7" s="14" customFormat="1" ht="15" customHeight="1">
      <c r="A5" s="429"/>
      <c r="B5" s="430"/>
      <c r="C5" s="430"/>
      <c r="D5" s="430"/>
      <c r="E5" s="430"/>
      <c r="F5" s="430"/>
      <c r="G5" s="430"/>
    </row>
    <row r="6" spans="2:7" s="14" customFormat="1" ht="30" customHeight="1">
      <c r="B6" s="875" t="s">
        <v>16</v>
      </c>
      <c r="C6" s="875" t="s">
        <v>67</v>
      </c>
      <c r="D6" s="875" t="s">
        <v>62</v>
      </c>
      <c r="E6" s="875" t="s">
        <v>70</v>
      </c>
      <c r="F6" s="876" t="s">
        <v>17</v>
      </c>
      <c r="G6" s="878" t="s">
        <v>321</v>
      </c>
    </row>
    <row r="7" spans="1:7" s="14" customFormat="1" ht="15" customHeight="1">
      <c r="A7" s="431" t="s">
        <v>149</v>
      </c>
      <c r="B7" s="430"/>
      <c r="C7" s="430"/>
      <c r="D7" s="430"/>
      <c r="E7" s="430"/>
      <c r="F7" s="430"/>
      <c r="G7" s="430"/>
    </row>
    <row r="8" spans="1:7" s="14" customFormat="1" ht="15" customHeight="1">
      <c r="A8" s="432" t="s">
        <v>444</v>
      </c>
      <c r="B8" s="372"/>
      <c r="C8" s="372"/>
      <c r="D8" s="372"/>
      <c r="E8" s="372"/>
      <c r="F8" s="372"/>
      <c r="G8" s="372"/>
    </row>
    <row r="9" spans="1:7" s="99" customFormat="1" ht="15" customHeight="1">
      <c r="A9" s="371" t="s">
        <v>41</v>
      </c>
      <c r="B9" s="907">
        <f>-'[7]2Q09 Trial Balance'!E236</f>
        <v>5009168</v>
      </c>
      <c r="C9" s="907">
        <f>-'[7]2Q09 Trial Balance'!E232</f>
        <v>-45439</v>
      </c>
      <c r="D9" s="907">
        <f>-'[7]2Q09 Trial Balance'!E229</f>
        <v>-2219</v>
      </c>
      <c r="E9" s="907">
        <f>-'[7]2Q09 Trial Balance'!E226</f>
        <v>-1750</v>
      </c>
      <c r="F9" s="907">
        <f>-'[7]2Q09 Trial Balance'!E223</f>
        <v>-1670</v>
      </c>
      <c r="G9" s="907">
        <f>SUM(B9:F9)</f>
        <v>4958090</v>
      </c>
    </row>
    <row r="10" spans="1:7" s="14" customFormat="1" ht="15" customHeight="1">
      <c r="A10" s="371" t="s">
        <v>458</v>
      </c>
      <c r="B10" s="910">
        <f>-'[7]2Q09 Trial Balance'!E237</f>
        <v>1487335</v>
      </c>
      <c r="C10" s="910">
        <f>-'[7]2Q09 Trial Balance'!E233</f>
        <v>-18229</v>
      </c>
      <c r="D10" s="910">
        <f>-'[7]2Q09 Trial Balance'!E230</f>
        <v>-635</v>
      </c>
      <c r="E10" s="910">
        <f>-'[7]2Q09 Trial Balance'!E227</f>
        <v>-524</v>
      </c>
      <c r="F10" s="910">
        <f>-'[7]2Q09 Trial Balance'!E224</f>
        <v>-524</v>
      </c>
      <c r="G10" s="485">
        <f>SUM(B10:F10)</f>
        <v>1467423</v>
      </c>
    </row>
    <row r="11" spans="1:7" s="14" customFormat="1" ht="15" customHeight="1">
      <c r="A11" s="371" t="s">
        <v>459</v>
      </c>
      <c r="B11" s="910">
        <f>-'[7]2Q09 Trial Balance'!E238</f>
        <v>16293</v>
      </c>
      <c r="C11" s="910">
        <f>-'[7]2Q09 Trial Balance'!E234</f>
        <v>-278</v>
      </c>
      <c r="D11" s="589">
        <v>0</v>
      </c>
      <c r="E11" s="589">
        <v>0</v>
      </c>
      <c r="F11" s="589">
        <v>0</v>
      </c>
      <c r="G11" s="485">
        <f>SUM(B11:F11)</f>
        <v>16015</v>
      </c>
    </row>
    <row r="12" spans="1:7" s="24" customFormat="1" ht="15" customHeight="1" thickBot="1">
      <c r="A12" s="433" t="s">
        <v>448</v>
      </c>
      <c r="B12" s="138">
        <f aca="true" t="shared" si="0" ref="B12:G12">SUM(B9:B11)</f>
        <v>6512796</v>
      </c>
      <c r="C12" s="917">
        <f t="shared" si="0"/>
        <v>-63946</v>
      </c>
      <c r="D12" s="917">
        <f t="shared" si="0"/>
        <v>-2854</v>
      </c>
      <c r="E12" s="917">
        <f t="shared" si="0"/>
        <v>-2274</v>
      </c>
      <c r="F12" s="917">
        <f t="shared" si="0"/>
        <v>-2194</v>
      </c>
      <c r="G12" s="767">
        <f t="shared" si="0"/>
        <v>6441528</v>
      </c>
    </row>
    <row r="13" spans="1:7" s="24" customFormat="1" ht="15" customHeight="1" thickTop="1">
      <c r="A13" s="371"/>
      <c r="B13" s="126"/>
      <c r="C13" s="126"/>
      <c r="D13" s="126"/>
      <c r="E13" s="126"/>
      <c r="F13" s="126"/>
      <c r="G13" s="256"/>
    </row>
    <row r="14" spans="1:7" s="24" customFormat="1" ht="30" customHeight="1">
      <c r="A14" s="432" t="s">
        <v>12</v>
      </c>
      <c r="B14" s="126"/>
      <c r="C14" s="126"/>
      <c r="D14" s="126"/>
      <c r="E14" s="126"/>
      <c r="F14" s="126"/>
      <c r="G14" s="126"/>
    </row>
    <row r="15" spans="1:7" s="24" customFormat="1" ht="15" customHeight="1">
      <c r="A15" s="371" t="s">
        <v>41</v>
      </c>
      <c r="B15" s="126">
        <f>-'[7]2Q09 Trial Balance'!E68</f>
        <v>3777212.11</v>
      </c>
      <c r="C15" s="126">
        <f>-'[7]2Q09 Trial Balance'!E64</f>
        <v>1313645.58</v>
      </c>
      <c r="D15" s="589">
        <v>0</v>
      </c>
      <c r="E15" s="589">
        <v>0</v>
      </c>
      <c r="F15" s="589">
        <v>0</v>
      </c>
      <c r="G15" s="485">
        <f>SUM(B15:F15)</f>
        <v>5090857.6899999995</v>
      </c>
    </row>
    <row r="16" spans="1:7" s="24" customFormat="1" ht="15" customHeight="1">
      <c r="A16" s="371" t="s">
        <v>86</v>
      </c>
      <c r="B16" s="126">
        <f>-'[7]2Q09 Trial Balance'!E69</f>
        <v>1126321.7</v>
      </c>
      <c r="C16" s="126">
        <f>-'[7]2Q09 Trial Balance'!E65</f>
        <v>401729.9</v>
      </c>
      <c r="D16" s="126">
        <v>0</v>
      </c>
      <c r="E16" s="126">
        <v>0</v>
      </c>
      <c r="F16" s="126">
        <v>0</v>
      </c>
      <c r="G16" s="485">
        <f>SUM(B16:F16)</f>
        <v>1528051.6</v>
      </c>
    </row>
    <row r="17" spans="1:7" s="24" customFormat="1" ht="15" customHeight="1">
      <c r="A17" s="371" t="s">
        <v>471</v>
      </c>
      <c r="B17" s="126">
        <f>-'[7]2Q09 Trial Balance'!E70</f>
        <v>12463.04</v>
      </c>
      <c r="C17" s="126">
        <f>-'[7]2Q09 Trial Balance'!E66</f>
        <v>5045.75</v>
      </c>
      <c r="D17" s="126">
        <v>0</v>
      </c>
      <c r="E17" s="126">
        <v>0</v>
      </c>
      <c r="F17" s="126">
        <v>0</v>
      </c>
      <c r="G17" s="766">
        <f>SUM(B17:F17)</f>
        <v>17508.79</v>
      </c>
    </row>
    <row r="18" spans="1:7" s="24" customFormat="1" ht="15" customHeight="1" thickBot="1">
      <c r="A18" s="433" t="s">
        <v>448</v>
      </c>
      <c r="B18" s="138">
        <f>SUM(B15:B17)</f>
        <v>4915996.85</v>
      </c>
      <c r="C18" s="138">
        <f>SUM(C15:C17)+1</f>
        <v>1720422.23</v>
      </c>
      <c r="D18" s="138">
        <f>SUM(D15:D17)</f>
        <v>0</v>
      </c>
      <c r="E18" s="138">
        <f>SUM(E15:E17)</f>
        <v>0</v>
      </c>
      <c r="F18" s="138">
        <v>0</v>
      </c>
      <c r="G18" s="767">
        <f>SUM(G15:G17)+1</f>
        <v>6636419.079999999</v>
      </c>
    </row>
    <row r="19" spans="1:7" s="24" customFormat="1" ht="15" customHeight="1" thickTop="1">
      <c r="A19" s="371"/>
      <c r="B19" s="126"/>
      <c r="C19" s="126"/>
      <c r="D19" s="126"/>
      <c r="E19" s="126"/>
      <c r="F19" s="126"/>
      <c r="G19" s="256"/>
    </row>
    <row r="20" spans="1:7" s="24" customFormat="1" ht="30" customHeight="1">
      <c r="A20" s="432" t="s">
        <v>9</v>
      </c>
      <c r="B20" s="312"/>
      <c r="C20" s="312"/>
      <c r="D20" s="312"/>
      <c r="E20" s="312"/>
      <c r="F20" s="126"/>
      <c r="G20" s="126"/>
    </row>
    <row r="21" spans="1:7" s="24" customFormat="1" ht="15" customHeight="1">
      <c r="A21" s="371" t="s">
        <v>41</v>
      </c>
      <c r="B21" s="126">
        <v>0</v>
      </c>
      <c r="C21" s="126">
        <v>5449093</v>
      </c>
      <c r="D21" s="589">
        <v>0</v>
      </c>
      <c r="E21" s="589">
        <v>0</v>
      </c>
      <c r="F21" s="589">
        <v>0</v>
      </c>
      <c r="G21" s="485">
        <f>SUM(B21:F21)</f>
        <v>5449093</v>
      </c>
    </row>
    <row r="22" spans="1:7" s="24" customFormat="1" ht="15" customHeight="1">
      <c r="A22" s="371" t="s">
        <v>458</v>
      </c>
      <c r="B22" s="126">
        <v>0</v>
      </c>
      <c r="C22" s="126">
        <v>1681154</v>
      </c>
      <c r="D22" s="126">
        <v>0</v>
      </c>
      <c r="E22" s="126">
        <v>0</v>
      </c>
      <c r="F22" s="126">
        <v>0</v>
      </c>
      <c r="G22" s="485">
        <f>SUM(B22:F22)</f>
        <v>1681154</v>
      </c>
    </row>
    <row r="23" spans="1:7" s="24" customFormat="1" ht="15" customHeight="1">
      <c r="A23" s="371" t="s">
        <v>459</v>
      </c>
      <c r="B23" s="126">
        <v>0</v>
      </c>
      <c r="C23" s="126">
        <v>21754</v>
      </c>
      <c r="D23" s="126">
        <v>0</v>
      </c>
      <c r="E23" s="126">
        <v>0</v>
      </c>
      <c r="F23" s="126">
        <v>0</v>
      </c>
      <c r="G23" s="485">
        <f>SUM(B23:F23)</f>
        <v>21754</v>
      </c>
    </row>
    <row r="24" spans="1:7" s="24" customFormat="1" ht="15" customHeight="1" thickBot="1">
      <c r="A24" s="433" t="s">
        <v>448</v>
      </c>
      <c r="B24" s="138">
        <f>SUM(B21:B23)</f>
        <v>0</v>
      </c>
      <c r="C24" s="138">
        <f>SUM(C21:C23)</f>
        <v>7152001</v>
      </c>
      <c r="D24" s="138">
        <f>SUM(D21:D23)</f>
        <v>0</v>
      </c>
      <c r="E24" s="138">
        <f>SUM(E21:E23)</f>
        <v>0</v>
      </c>
      <c r="F24" s="138">
        <f>SUM(F21:F23)</f>
        <v>0</v>
      </c>
      <c r="G24" s="129">
        <f>SUM(C24:F24)</f>
        <v>7152001</v>
      </c>
    </row>
    <row r="25" spans="1:7" s="782" customFormat="1" ht="15" customHeight="1" thickTop="1">
      <c r="A25" s="434"/>
      <c r="B25" s="126"/>
      <c r="C25" s="126"/>
      <c r="D25" s="126"/>
      <c r="E25" s="843"/>
      <c r="F25" s="126"/>
      <c r="G25" s="781"/>
    </row>
    <row r="26" spans="1:7" s="24" customFormat="1" ht="15" customHeight="1">
      <c r="A26" s="432" t="s">
        <v>449</v>
      </c>
      <c r="B26" s="126"/>
      <c r="C26" s="126"/>
      <c r="D26" s="126"/>
      <c r="E26" s="126"/>
      <c r="F26" s="126"/>
      <c r="G26" s="126"/>
    </row>
    <row r="27" spans="1:7" s="24" customFormat="1" ht="15" customHeight="1">
      <c r="A27" s="371" t="s">
        <v>41</v>
      </c>
      <c r="B27" s="126">
        <f aca="true" t="shared" si="1" ref="B27:F29">B9-(B15-B21)</f>
        <v>1231955.8900000001</v>
      </c>
      <c r="C27" s="126">
        <f t="shared" si="1"/>
        <v>4090008.42</v>
      </c>
      <c r="D27" s="910">
        <f t="shared" si="1"/>
        <v>-2219</v>
      </c>
      <c r="E27" s="910">
        <f t="shared" si="1"/>
        <v>-1750</v>
      </c>
      <c r="F27" s="910">
        <f t="shared" si="1"/>
        <v>-1670</v>
      </c>
      <c r="G27" s="485">
        <f>SUM(B27:F27)</f>
        <v>5316325.3100000005</v>
      </c>
    </row>
    <row r="28" spans="1:7" s="24" customFormat="1" ht="15" customHeight="1">
      <c r="A28" s="371" t="s">
        <v>458</v>
      </c>
      <c r="B28" s="126">
        <f t="shared" si="1"/>
        <v>361013.30000000005</v>
      </c>
      <c r="C28" s="126">
        <f t="shared" si="1"/>
        <v>1261195.1</v>
      </c>
      <c r="D28" s="910">
        <f t="shared" si="1"/>
        <v>-635</v>
      </c>
      <c r="E28" s="910">
        <f t="shared" si="1"/>
        <v>-524</v>
      </c>
      <c r="F28" s="910">
        <f t="shared" si="1"/>
        <v>-524</v>
      </c>
      <c r="G28" s="485">
        <f>SUM(B28:F28)</f>
        <v>1620525.4000000001</v>
      </c>
    </row>
    <row r="29" spans="1:7" s="24" customFormat="1" ht="15" customHeight="1">
      <c r="A29" s="435" t="s">
        <v>459</v>
      </c>
      <c r="B29" s="485">
        <f t="shared" si="1"/>
        <v>3829.959999999999</v>
      </c>
      <c r="C29" s="485">
        <f t="shared" si="1"/>
        <v>16430.25</v>
      </c>
      <c r="D29" s="485">
        <f t="shared" si="1"/>
        <v>0</v>
      </c>
      <c r="E29" s="485">
        <f t="shared" si="1"/>
        <v>0</v>
      </c>
      <c r="F29" s="126">
        <f t="shared" si="1"/>
        <v>0</v>
      </c>
      <c r="G29" s="485">
        <f>SUM(B29:F29)</f>
        <v>20260.21</v>
      </c>
    </row>
    <row r="30" spans="1:7" s="24" customFormat="1" ht="15" customHeight="1" thickBot="1">
      <c r="A30" s="433" t="s">
        <v>448</v>
      </c>
      <c r="B30" s="544">
        <f>SUM(B27:B29)</f>
        <v>1596799.1500000001</v>
      </c>
      <c r="C30" s="544">
        <f>SUM(C27:C29)-1</f>
        <v>5367632.77</v>
      </c>
      <c r="D30" s="916">
        <f>SUM(D27:D29)</f>
        <v>-2854</v>
      </c>
      <c r="E30" s="916">
        <f>SUM(E27:E29)</f>
        <v>-2274</v>
      </c>
      <c r="F30" s="916">
        <f>SUM(F27:F29)</f>
        <v>-2194</v>
      </c>
      <c r="G30" s="916">
        <f>SUM(G27:G29)-1</f>
        <v>6957109.920000001</v>
      </c>
    </row>
    <row r="31" spans="1:7" s="24" customFormat="1" ht="15" customHeight="1" thickTop="1">
      <c r="A31" s="433"/>
      <c r="B31" s="477"/>
      <c r="C31" s="477"/>
      <c r="D31" s="477"/>
      <c r="E31" s="786"/>
      <c r="F31" s="786"/>
      <c r="G31" s="477"/>
    </row>
    <row r="32" spans="1:7" s="787" customFormat="1" ht="15" customHeight="1">
      <c r="A32" s="1000" t="s">
        <v>18</v>
      </c>
      <c r="B32" s="1000"/>
      <c r="C32" s="1000"/>
      <c r="D32" s="1000"/>
      <c r="E32" s="1000"/>
      <c r="F32" s="1000"/>
      <c r="G32" s="1000"/>
    </row>
    <row r="33" spans="1:7" s="787" customFormat="1" ht="15" customHeight="1">
      <c r="A33" s="1000"/>
      <c r="B33" s="1000"/>
      <c r="C33" s="1000"/>
      <c r="D33" s="1000"/>
      <c r="E33" s="1000"/>
      <c r="F33" s="1000"/>
      <c r="G33" s="1000"/>
    </row>
    <row r="34" spans="1:7" s="787" customFormat="1" ht="15" customHeight="1">
      <c r="A34" s="1000"/>
      <c r="B34" s="1000"/>
      <c r="C34" s="1000"/>
      <c r="D34" s="1000"/>
      <c r="E34" s="1000"/>
      <c r="F34" s="1000"/>
      <c r="G34" s="1000"/>
    </row>
    <row r="35" spans="1:7" ht="19.5" customHeight="1">
      <c r="A35" s="135"/>
      <c r="B35" s="1001" t="s">
        <v>29</v>
      </c>
      <c r="C35" s="1001" t="s">
        <v>56</v>
      </c>
      <c r="D35" s="135"/>
      <c r="E35" s="844"/>
      <c r="F35" s="1001" t="s">
        <v>29</v>
      </c>
      <c r="G35" s="1001" t="s">
        <v>56</v>
      </c>
    </row>
    <row r="36" spans="1:7" ht="19.5" customHeight="1">
      <c r="A36" s="845" t="s">
        <v>386</v>
      </c>
      <c r="B36" s="1001"/>
      <c r="C36" s="1001"/>
      <c r="D36" s="135"/>
      <c r="E36" s="846" t="s">
        <v>386</v>
      </c>
      <c r="F36" s="1001"/>
      <c r="G36" s="1001"/>
    </row>
    <row r="37" spans="1:8" ht="15" customHeight="1">
      <c r="A37" s="936" t="s">
        <v>19</v>
      </c>
      <c r="B37" s="937">
        <v>1352322.33</v>
      </c>
      <c r="C37" s="937">
        <v>1661120.75</v>
      </c>
      <c r="D37" s="896" t="s">
        <v>20</v>
      </c>
      <c r="E37" s="937">
        <v>240955.17</v>
      </c>
      <c r="F37" s="937">
        <v>1128476.87</v>
      </c>
      <c r="G37" s="937">
        <f>E37+F37</f>
        <v>1369432.04</v>
      </c>
      <c r="H37" s="4"/>
    </row>
    <row r="38" spans="1:8" ht="15" customHeight="1">
      <c r="A38" s="936" t="s">
        <v>21</v>
      </c>
      <c r="B38" s="847">
        <v>1298046.26</v>
      </c>
      <c r="C38" s="847">
        <v>1588302.81</v>
      </c>
      <c r="D38" s="896" t="s">
        <v>24</v>
      </c>
      <c r="E38" s="937">
        <v>232320.68</v>
      </c>
      <c r="F38" s="937">
        <v>1099803.02</v>
      </c>
      <c r="G38" s="937">
        <f>E38+F38</f>
        <v>1332123.7</v>
      </c>
      <c r="H38" s="4"/>
    </row>
    <row r="39" spans="1:8" ht="15" customHeight="1">
      <c r="A39" s="936" t="s">
        <v>22</v>
      </c>
      <c r="B39" s="847">
        <v>1251408.19</v>
      </c>
      <c r="C39" s="847">
        <v>1527241.19</v>
      </c>
      <c r="D39" s="896"/>
      <c r="E39" s="847"/>
      <c r="F39" s="847"/>
      <c r="G39" s="847"/>
      <c r="H39" s="4"/>
    </row>
    <row r="40" spans="1:8" ht="15" customHeight="1">
      <c r="A40" s="936" t="s">
        <v>23</v>
      </c>
      <c r="B40" s="937">
        <v>1202886.26</v>
      </c>
      <c r="C40" s="937">
        <v>1460098.77</v>
      </c>
      <c r="D40" s="896"/>
      <c r="E40" s="847"/>
      <c r="F40" s="847"/>
      <c r="G40" s="847"/>
      <c r="H40" s="4"/>
    </row>
    <row r="41" spans="1:7" s="135" customFormat="1" ht="15" customHeight="1">
      <c r="A41" s="848"/>
      <c r="B41" s="849"/>
      <c r="C41" s="849"/>
      <c r="D41" s="849"/>
      <c r="E41" s="848"/>
      <c r="F41" s="850"/>
      <c r="G41" s="850"/>
    </row>
    <row r="42" spans="1:7" s="135" customFormat="1" ht="15" customHeight="1">
      <c r="A42" s="1000" t="s">
        <v>32</v>
      </c>
      <c r="B42" s="1000"/>
      <c r="C42" s="1000"/>
      <c r="D42" s="1000"/>
      <c r="E42" s="1000"/>
      <c r="F42" s="1000"/>
      <c r="G42" s="1000"/>
    </row>
    <row r="43" spans="1:7" s="135" customFormat="1" ht="15" customHeight="1">
      <c r="A43" s="1000"/>
      <c r="B43" s="1000"/>
      <c r="C43" s="1000"/>
      <c r="D43" s="1000"/>
      <c r="E43" s="1000"/>
      <c r="F43" s="1000"/>
      <c r="G43" s="1000"/>
    </row>
    <row r="44" spans="1:7" s="135" customFormat="1" ht="15" customHeight="1">
      <c r="A44" s="848"/>
      <c r="B44" s="849"/>
      <c r="C44" s="849"/>
      <c r="D44" s="849"/>
      <c r="E44" s="848"/>
      <c r="F44" s="850"/>
      <c r="G44" s="850"/>
    </row>
    <row r="45" spans="1:7" s="135" customFormat="1" ht="15" customHeight="1">
      <c r="A45" s="848"/>
      <c r="B45" s="849"/>
      <c r="C45" s="849"/>
      <c r="D45" s="849"/>
      <c r="E45" s="848"/>
      <c r="F45" s="850"/>
      <c r="G45" s="850"/>
    </row>
    <row r="46" spans="1:7" s="135" customFormat="1" ht="15" customHeight="1">
      <c r="A46" s="848"/>
      <c r="B46" s="849"/>
      <c r="C46" s="849"/>
      <c r="D46" s="849"/>
      <c r="E46" s="848"/>
      <c r="F46" s="850"/>
      <c r="G46" s="850"/>
    </row>
    <row r="47" spans="1:7" s="135" customFormat="1" ht="15" customHeight="1">
      <c r="A47" s="848"/>
      <c r="B47" s="849"/>
      <c r="C47" s="849"/>
      <c r="D47" s="849"/>
      <c r="E47" s="848"/>
      <c r="F47" s="850"/>
      <c r="G47" s="850"/>
    </row>
    <row r="48" spans="1:7" s="135" customFormat="1" ht="15" customHeight="1">
      <c r="A48" s="848"/>
      <c r="B48" s="849"/>
      <c r="C48" s="849"/>
      <c r="D48" s="849"/>
      <c r="E48" s="848"/>
      <c r="F48" s="850"/>
      <c r="G48" s="850"/>
    </row>
    <row r="49" spans="1:7" s="135" customFormat="1" ht="15" customHeight="1">
      <c r="A49" s="848"/>
      <c r="B49" s="849"/>
      <c r="C49" s="849"/>
      <c r="D49" s="849"/>
      <c r="E49" s="848"/>
      <c r="F49" s="850"/>
      <c r="G49" s="850"/>
    </row>
    <row r="50" spans="1:7" s="135" customFormat="1" ht="15" customHeight="1">
      <c r="A50" s="848"/>
      <c r="B50" s="849"/>
      <c r="C50" s="849"/>
      <c r="D50" s="849"/>
      <c r="E50" s="848"/>
      <c r="F50" s="850"/>
      <c r="G50" s="850"/>
    </row>
    <row r="51" spans="1:7" s="135" customFormat="1" ht="15" customHeight="1">
      <c r="A51" s="848"/>
      <c r="B51" s="849"/>
      <c r="C51" s="849"/>
      <c r="D51" s="849"/>
      <c r="E51" s="848"/>
      <c r="F51" s="850"/>
      <c r="G51" s="850"/>
    </row>
    <row r="52" spans="1:7" s="135" customFormat="1" ht="15" customHeight="1">
      <c r="A52" s="848"/>
      <c r="B52" s="849"/>
      <c r="C52" s="849"/>
      <c r="D52" s="849"/>
      <c r="E52" s="848"/>
      <c r="F52" s="850"/>
      <c r="G52" s="850"/>
    </row>
    <row r="53" spans="1:7" s="135" customFormat="1" ht="15" customHeight="1">
      <c r="A53" s="848"/>
      <c r="B53" s="849"/>
      <c r="C53" s="849"/>
      <c r="D53" s="849"/>
      <c r="E53" s="848"/>
      <c r="F53" s="850"/>
      <c r="G53" s="850"/>
    </row>
    <row r="54" spans="1:7" s="135" customFormat="1" ht="15" customHeight="1">
      <c r="A54" s="848"/>
      <c r="B54" s="849"/>
      <c r="C54" s="849"/>
      <c r="D54" s="849"/>
      <c r="E54" s="848"/>
      <c r="F54" s="850"/>
      <c r="G54" s="850"/>
    </row>
    <row r="55" spans="1:7" s="135" customFormat="1" ht="15" customHeight="1">
      <c r="A55" s="848"/>
      <c r="B55" s="849"/>
      <c r="C55" s="849"/>
      <c r="D55" s="849"/>
      <c r="E55" s="848"/>
      <c r="F55" s="850"/>
      <c r="G55" s="850"/>
    </row>
    <row r="56" spans="1:7" s="135" customFormat="1" ht="15" customHeight="1">
      <c r="A56" s="848"/>
      <c r="B56" s="849"/>
      <c r="C56" s="849"/>
      <c r="D56" s="849"/>
      <c r="E56" s="848"/>
      <c r="F56" s="850"/>
      <c r="G56" s="850"/>
    </row>
    <row r="57" spans="1:7" s="135" customFormat="1" ht="15" customHeight="1">
      <c r="A57" s="848"/>
      <c r="B57" s="849"/>
      <c r="C57" s="849"/>
      <c r="D57" s="849"/>
      <c r="E57" s="848"/>
      <c r="F57" s="850"/>
      <c r="G57" s="850"/>
    </row>
    <row r="58" spans="1:7" s="135" customFormat="1" ht="15" customHeight="1">
      <c r="A58" s="848"/>
      <c r="B58" s="849"/>
      <c r="C58" s="849"/>
      <c r="D58" s="849"/>
      <c r="E58" s="848"/>
      <c r="F58" s="850"/>
      <c r="G58" s="850"/>
    </row>
  </sheetData>
  <sheetProtection/>
  <mergeCells count="6">
    <mergeCell ref="A42:G43"/>
    <mergeCell ref="A32:G34"/>
    <mergeCell ref="G35:G36"/>
    <mergeCell ref="F35:F36"/>
    <mergeCell ref="C35:C36"/>
    <mergeCell ref="B35:B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93" customWidth="1"/>
    <col min="2" max="4" width="16.7109375" style="565" customWidth="1"/>
    <col min="5" max="7" width="16.7109375" style="566" customWidth="1"/>
    <col min="8" max="16384" width="15.7109375" style="340" customWidth="1"/>
  </cols>
  <sheetData>
    <row r="1" spans="1:7" s="363" customFormat="1" ht="24.75" customHeight="1">
      <c r="A1" s="1002" t="s">
        <v>320</v>
      </c>
      <c r="B1" s="1002"/>
      <c r="C1" s="1002"/>
      <c r="D1" s="1002"/>
      <c r="E1" s="1002"/>
      <c r="F1" s="1002"/>
      <c r="G1" s="1002"/>
    </row>
    <row r="2" spans="1:7" s="166" customFormat="1" ht="15" customHeight="1">
      <c r="A2" s="889"/>
      <c r="B2" s="851"/>
      <c r="C2" s="851"/>
      <c r="D2" s="851"/>
      <c r="E2" s="851"/>
      <c r="F2" s="851"/>
      <c r="G2" s="851"/>
    </row>
    <row r="3" spans="1:7" s="167" customFormat="1" ht="15" customHeight="1">
      <c r="A3" s="1003" t="s">
        <v>454</v>
      </c>
      <c r="B3" s="1003"/>
      <c r="C3" s="1003"/>
      <c r="D3" s="1003"/>
      <c r="E3" s="1003"/>
      <c r="F3" s="1003"/>
      <c r="G3" s="1003"/>
    </row>
    <row r="4" spans="1:7" s="167" customFormat="1" ht="15" customHeight="1">
      <c r="A4" s="1003" t="s">
        <v>4</v>
      </c>
      <c r="B4" s="1003"/>
      <c r="C4" s="1003"/>
      <c r="D4" s="1003"/>
      <c r="E4" s="1003"/>
      <c r="F4" s="1003"/>
      <c r="G4" s="1003"/>
    </row>
    <row r="5" spans="1:7" s="364" customFormat="1" ht="15" customHeight="1">
      <c r="A5" s="889"/>
      <c r="B5" s="564"/>
      <c r="C5" s="564"/>
      <c r="D5" s="564"/>
      <c r="E5" s="851"/>
      <c r="F5" s="851"/>
      <c r="G5" s="851"/>
    </row>
    <row r="6" spans="2:7" ht="30" customHeight="1">
      <c r="B6" s="875" t="s">
        <v>16</v>
      </c>
      <c r="C6" s="875" t="s">
        <v>67</v>
      </c>
      <c r="D6" s="875" t="s">
        <v>62</v>
      </c>
      <c r="E6" s="875" t="s">
        <v>70</v>
      </c>
      <c r="F6" s="876" t="s">
        <v>17</v>
      </c>
      <c r="G6" s="875" t="s">
        <v>321</v>
      </c>
    </row>
    <row r="7" spans="1:7" ht="15" customHeight="1">
      <c r="A7" s="890" t="s">
        <v>455</v>
      </c>
      <c r="B7" s="852"/>
      <c r="C7" s="852"/>
      <c r="D7" s="852"/>
      <c r="E7" s="852"/>
      <c r="F7" s="852"/>
      <c r="G7" s="852"/>
    </row>
    <row r="8" spans="1:7" ht="15" customHeight="1">
      <c r="A8" s="890" t="s">
        <v>71</v>
      </c>
      <c r="B8" s="853"/>
      <c r="C8" s="853"/>
      <c r="D8" s="853"/>
      <c r="E8" s="853"/>
      <c r="F8" s="853"/>
      <c r="G8" s="853"/>
    </row>
    <row r="9" spans="1:7" ht="15" customHeight="1">
      <c r="A9" s="891" t="s">
        <v>457</v>
      </c>
      <c r="B9" s="907">
        <f>'[7]Loss Expenses Paid QTD-15'!E33</f>
        <v>692520.02</v>
      </c>
      <c r="C9" s="907">
        <f>'[7]Loss Expenses Paid QTD-15'!E27+'[7]2Q09 Trial Balance'!C294</f>
        <v>1425183.02</v>
      </c>
      <c r="D9" s="907">
        <f>'[7]Loss Expenses Paid QTD-15'!E21</f>
        <v>9924.4</v>
      </c>
      <c r="E9" s="907">
        <f>'[7]Loss Expenses Paid QTD-15'!E15</f>
        <v>115777.19</v>
      </c>
      <c r="F9" s="907">
        <f>'[7]Loss Expenses Paid QTD-15'!E9+'[7]2Q09 Trial Balance'!D288</f>
        <v>-7429.070000000001</v>
      </c>
      <c r="G9" s="907">
        <f>SUM(B9:F9)-1</f>
        <v>2235974.56</v>
      </c>
    </row>
    <row r="10" spans="1:7" ht="15" customHeight="1">
      <c r="A10" s="891" t="s">
        <v>458</v>
      </c>
      <c r="B10" s="854">
        <f>'[7]Loss Expenses Paid QTD-15'!E34</f>
        <v>28426.82</v>
      </c>
      <c r="C10" s="854">
        <f>'[7]Loss Expenses Paid QTD-15'!E28</f>
        <v>142417.64</v>
      </c>
      <c r="D10" s="911">
        <f>'[7]Loss Expenses Paid QTD-15'!E22+'[7]2Q09 Trial Balance'!D292</f>
        <v>4405.220000000001</v>
      </c>
      <c r="E10" s="854">
        <f>'[7]Loss Expenses Paid QTD-15'!E16</f>
        <v>0</v>
      </c>
      <c r="F10" s="854">
        <f>'[7]Loss Expenses Paid QTD-15'!E10</f>
        <v>0</v>
      </c>
      <c r="G10" s="854">
        <f>SUM(B10:F10)</f>
        <v>175249.68000000002</v>
      </c>
    </row>
    <row r="11" spans="1:7" ht="15" customHeight="1">
      <c r="A11" s="891" t="s">
        <v>459</v>
      </c>
      <c r="B11" s="854">
        <f>'[7]Loss Expenses Paid QTD-15'!E35</f>
        <v>0</v>
      </c>
      <c r="C11" s="854">
        <f>'[7]Loss Expenses Paid QTD-15'!E29</f>
        <v>0</v>
      </c>
      <c r="D11" s="854">
        <f>'[7]Loss Expenses Paid QTD-15'!E23</f>
        <v>0</v>
      </c>
      <c r="E11" s="854">
        <f>'[7]Loss Expenses Paid QTD-15'!E17</f>
        <v>0</v>
      </c>
      <c r="F11" s="854">
        <f>'[7]Loss Expenses Paid QTD-15'!E11</f>
        <v>0</v>
      </c>
      <c r="G11" s="854">
        <f>SUM(B11:F11)</f>
        <v>0</v>
      </c>
    </row>
    <row r="12" spans="1:7" ht="15" customHeight="1" thickBot="1">
      <c r="A12" s="892" t="s">
        <v>448</v>
      </c>
      <c r="B12" s="829">
        <f>SUM(B9:B11)</f>
        <v>720946.84</v>
      </c>
      <c r="C12" s="829">
        <f>SUM(C9:C11)</f>
        <v>1567600.6600000001</v>
      </c>
      <c r="D12" s="914">
        <f>SUM(D9:D11)-1</f>
        <v>14328.62</v>
      </c>
      <c r="E12" s="912">
        <f>SUM(E9:E11)</f>
        <v>115777.19</v>
      </c>
      <c r="F12" s="912">
        <f>SUM(F9:F11)</f>
        <v>-7429.070000000001</v>
      </c>
      <c r="G12" s="895">
        <f>SUM(G9:G11)+1</f>
        <v>2411225.24</v>
      </c>
    </row>
    <row r="13" spans="1:7" ht="15" customHeight="1" thickTop="1">
      <c r="A13" s="890"/>
      <c r="B13" s="857"/>
      <c r="C13" s="857"/>
      <c r="D13" s="857"/>
      <c r="E13" s="854"/>
      <c r="F13" s="854"/>
      <c r="G13" s="854"/>
    </row>
    <row r="14" spans="1:7" ht="15" customHeight="1">
      <c r="A14" s="890" t="s">
        <v>13</v>
      </c>
      <c r="B14" s="857"/>
      <c r="C14" s="857"/>
      <c r="D14" s="857"/>
      <c r="E14" s="854"/>
      <c r="F14" s="854"/>
      <c r="G14" s="854"/>
    </row>
    <row r="15" spans="1:7" ht="15" customHeight="1">
      <c r="A15" s="891" t="s">
        <v>460</v>
      </c>
      <c r="B15" s="854">
        <f>'Losses Incurred YTD-10'!B15</f>
        <v>275574.06</v>
      </c>
      <c r="C15" s="854">
        <f>'Losses Incurred YTD-10'!C15</f>
        <v>1404814.19</v>
      </c>
      <c r="D15" s="854">
        <f>'Losses Incurred YTD-10'!D15</f>
        <v>76855</v>
      </c>
      <c r="E15" s="854">
        <f>'Losses Incurred YTD-10'!E15</f>
        <v>49500</v>
      </c>
      <c r="F15" s="854">
        <f>'Losses Incurred YTD-10'!F15</f>
        <v>246980.6</v>
      </c>
      <c r="G15" s="854">
        <f>SUM(B15:F15)</f>
        <v>2053723.85</v>
      </c>
    </row>
    <row r="16" spans="1:7" ht="15" customHeight="1">
      <c r="A16" s="891" t="s">
        <v>461</v>
      </c>
      <c r="B16" s="854">
        <f>'Losses Incurred YTD-10'!B16</f>
        <v>35660</v>
      </c>
      <c r="C16" s="854">
        <f>'Losses Incurred YTD-10'!C16</f>
        <v>96675</v>
      </c>
      <c r="D16" s="854">
        <f>'Losses Incurred YTD-10'!D16</f>
        <v>23500</v>
      </c>
      <c r="E16" s="854">
        <f>'Losses Incurred YTD-10'!E16</f>
        <v>0</v>
      </c>
      <c r="F16" s="854">
        <f>'Losses Incurred YTD-10'!F16</f>
        <v>0</v>
      </c>
      <c r="G16" s="854">
        <f>SUM(B16:F16)</f>
        <v>155835</v>
      </c>
    </row>
    <row r="17" spans="1:7" ht="15" customHeight="1">
      <c r="A17" s="891" t="s">
        <v>462</v>
      </c>
      <c r="B17" s="854">
        <f>'Losses Incurred YTD-10'!B17</f>
        <v>0</v>
      </c>
      <c r="C17" s="854">
        <f>'Losses Incurred YTD-10'!C17</f>
        <v>0</v>
      </c>
      <c r="D17" s="854">
        <f>'Losses Incurred YTD-10'!D17</f>
        <v>0</v>
      </c>
      <c r="E17" s="854">
        <f>'Losses Incurred YTD-10'!E17</f>
        <v>0</v>
      </c>
      <c r="F17" s="854">
        <f>'Losses Incurred YTD-10'!F17</f>
        <v>0</v>
      </c>
      <c r="G17" s="854">
        <f>SUM(B17:F17)</f>
        <v>0</v>
      </c>
    </row>
    <row r="18" spans="1:7" ht="15" customHeight="1" thickBot="1">
      <c r="A18" s="892" t="s">
        <v>448</v>
      </c>
      <c r="B18" s="829">
        <f aca="true" t="shared" si="0" ref="B18:G18">SUM(B15:B17)</f>
        <v>311234.06</v>
      </c>
      <c r="C18" s="829">
        <f t="shared" si="0"/>
        <v>1501489.19</v>
      </c>
      <c r="D18" s="829">
        <f t="shared" si="0"/>
        <v>100355</v>
      </c>
      <c r="E18" s="855">
        <f t="shared" si="0"/>
        <v>49500</v>
      </c>
      <c r="F18" s="855">
        <f t="shared" si="0"/>
        <v>246980.6</v>
      </c>
      <c r="G18" s="856">
        <f t="shared" si="0"/>
        <v>2209558.85</v>
      </c>
    </row>
    <row r="19" spans="1:7" ht="15" customHeight="1" thickTop="1">
      <c r="A19" s="890"/>
      <c r="B19" s="827"/>
      <c r="C19" s="827"/>
      <c r="D19" s="827"/>
      <c r="E19" s="858"/>
      <c r="F19" s="858"/>
      <c r="G19" s="858"/>
    </row>
    <row r="20" spans="1:7" ht="15" customHeight="1">
      <c r="A20" s="890" t="s">
        <v>14</v>
      </c>
      <c r="B20" s="859"/>
      <c r="C20" s="859"/>
      <c r="D20" s="859"/>
      <c r="E20" s="859"/>
      <c r="F20" s="859"/>
      <c r="G20" s="859"/>
    </row>
    <row r="21" spans="1:7" ht="15" customHeight="1">
      <c r="A21" s="891" t="s">
        <v>460</v>
      </c>
      <c r="B21" s="854">
        <f>'Losses Incurred YTD-10'!B21</f>
        <v>62660.56</v>
      </c>
      <c r="C21" s="854">
        <f>'Losses Incurred YTD-10'!C21</f>
        <v>72650.42</v>
      </c>
      <c r="D21" s="854">
        <f>'Losses Incurred YTD-10'!D21</f>
        <v>8730.48</v>
      </c>
      <c r="E21" s="854">
        <f>'Losses Incurred YTD-10'!E21</f>
        <v>0</v>
      </c>
      <c r="F21" s="854">
        <f>'Losses Incurred YTD-10'!F21</f>
        <v>0</v>
      </c>
      <c r="G21" s="854">
        <f>SUM(B21:F21)</f>
        <v>144041.46</v>
      </c>
    </row>
    <row r="22" spans="1:7" ht="15" customHeight="1">
      <c r="A22" s="891" t="s">
        <v>461</v>
      </c>
      <c r="B22" s="854">
        <f>'Losses Incurred YTD-10'!B22</f>
        <v>8108.44</v>
      </c>
      <c r="C22" s="854">
        <f>'Losses Incurred YTD-10'!C22</f>
        <v>4999.58</v>
      </c>
      <c r="D22" s="854">
        <f>'Losses Incurred YTD-10'!D22</f>
        <v>2669.52</v>
      </c>
      <c r="E22" s="854">
        <f>'Losses Incurred YTD-10'!E22</f>
        <v>0</v>
      </c>
      <c r="F22" s="854">
        <f>'Losses Incurred YTD-10'!F22</f>
        <v>0</v>
      </c>
      <c r="G22" s="854">
        <f>SUM(B22:F22)</f>
        <v>15777.54</v>
      </c>
    </row>
    <row r="23" spans="1:7" ht="15" customHeight="1">
      <c r="A23" s="891" t="s">
        <v>462</v>
      </c>
      <c r="B23" s="854">
        <f>'Losses Incurred YTD-10'!B23</f>
        <v>0</v>
      </c>
      <c r="C23" s="854">
        <f>'Losses Incurred YTD-10'!C23</f>
        <v>0</v>
      </c>
      <c r="D23" s="854">
        <f>'Losses Incurred YTD-10'!D23</f>
        <v>0</v>
      </c>
      <c r="E23" s="854">
        <f>'Losses Incurred YTD-10'!E23</f>
        <v>0</v>
      </c>
      <c r="F23" s="854">
        <f>'Losses Incurred YTD-10'!F23</f>
        <v>0</v>
      </c>
      <c r="G23" s="854">
        <f>SUM(B23:F23)</f>
        <v>0</v>
      </c>
    </row>
    <row r="24" spans="1:7" ht="15" customHeight="1" thickBot="1">
      <c r="A24" s="892" t="s">
        <v>448</v>
      </c>
      <c r="B24" s="829">
        <f aca="true" t="shared" si="1" ref="B24:G24">SUM(B21:B23)</f>
        <v>70769</v>
      </c>
      <c r="C24" s="829">
        <f t="shared" si="1"/>
        <v>77650</v>
      </c>
      <c r="D24" s="829">
        <f t="shared" si="1"/>
        <v>11400</v>
      </c>
      <c r="E24" s="855">
        <f t="shared" si="1"/>
        <v>0</v>
      </c>
      <c r="F24" s="855">
        <f t="shared" si="1"/>
        <v>0</v>
      </c>
      <c r="G24" s="856">
        <f t="shared" si="1"/>
        <v>159819</v>
      </c>
    </row>
    <row r="25" spans="1:7" ht="15" customHeight="1" thickTop="1">
      <c r="A25" s="890"/>
      <c r="B25" s="857"/>
      <c r="C25" s="857"/>
      <c r="D25" s="857"/>
      <c r="E25" s="854"/>
      <c r="F25" s="854"/>
      <c r="G25" s="854"/>
    </row>
    <row r="26" spans="1:7" ht="15" customHeight="1">
      <c r="A26" s="890" t="s">
        <v>26</v>
      </c>
      <c r="B26" s="860"/>
      <c r="C26" s="860"/>
      <c r="D26" s="860"/>
      <c r="E26" s="854"/>
      <c r="F26" s="854"/>
      <c r="G26" s="854"/>
    </row>
    <row r="27" spans="1:7" ht="15" customHeight="1">
      <c r="A27" s="890" t="s">
        <v>72</v>
      </c>
      <c r="B27" s="860"/>
      <c r="C27" s="860"/>
      <c r="D27" s="860"/>
      <c r="E27" s="854"/>
      <c r="F27" s="854"/>
      <c r="G27" s="854"/>
    </row>
    <row r="28" spans="1:7" ht="15" customHeight="1">
      <c r="A28" s="891" t="s">
        <v>460</v>
      </c>
      <c r="B28" s="857">
        <v>707000</v>
      </c>
      <c r="C28" s="857">
        <v>2395182.82</v>
      </c>
      <c r="D28" s="915">
        <v>155219.07</v>
      </c>
      <c r="E28" s="857">
        <v>174327.31</v>
      </c>
      <c r="F28" s="857">
        <v>118980.6</v>
      </c>
      <c r="G28" s="854">
        <f>SUM(B28:F28)</f>
        <v>3550709.8</v>
      </c>
    </row>
    <row r="29" spans="1:7" ht="15" customHeight="1">
      <c r="A29" s="891" t="s">
        <v>461</v>
      </c>
      <c r="B29" s="857">
        <v>12140</v>
      </c>
      <c r="C29" s="857">
        <v>273997.11</v>
      </c>
      <c r="D29" s="857">
        <v>31135.93</v>
      </c>
      <c r="E29" s="857">
        <v>0</v>
      </c>
      <c r="F29" s="857">
        <v>1000</v>
      </c>
      <c r="G29" s="854">
        <f>SUM(B29:F29)</f>
        <v>318273.04</v>
      </c>
    </row>
    <row r="30" spans="1:7" ht="15" customHeight="1">
      <c r="A30" s="891" t="s">
        <v>462</v>
      </c>
      <c r="B30" s="857">
        <v>0</v>
      </c>
      <c r="C30" s="857">
        <v>0</v>
      </c>
      <c r="D30" s="857">
        <v>0</v>
      </c>
      <c r="E30" s="857">
        <v>0</v>
      </c>
      <c r="F30" s="857">
        <v>0</v>
      </c>
      <c r="G30" s="854">
        <f>SUM(B30:F30)</f>
        <v>0</v>
      </c>
    </row>
    <row r="31" spans="1:7" ht="15" customHeight="1" thickBot="1">
      <c r="A31" s="892" t="s">
        <v>448</v>
      </c>
      <c r="B31" s="829">
        <f aca="true" t="shared" si="2" ref="B31:G31">SUM(B28:B30)</f>
        <v>719140</v>
      </c>
      <c r="C31" s="829">
        <f t="shared" si="2"/>
        <v>2669179.9299999997</v>
      </c>
      <c r="D31" s="829">
        <f t="shared" si="2"/>
        <v>186355</v>
      </c>
      <c r="E31" s="855">
        <f t="shared" si="2"/>
        <v>174327.31</v>
      </c>
      <c r="F31" s="855">
        <f>SUM(F28:F30)</f>
        <v>119980.6</v>
      </c>
      <c r="G31" s="856">
        <f t="shared" si="2"/>
        <v>3868982.84</v>
      </c>
    </row>
    <row r="32" spans="1:7" s="861" customFormat="1" ht="15" customHeight="1" thickTop="1">
      <c r="A32" s="890"/>
      <c r="B32" s="860"/>
      <c r="C32" s="860"/>
      <c r="D32" s="860"/>
      <c r="E32" s="860"/>
      <c r="F32" s="860"/>
      <c r="G32" s="860"/>
    </row>
    <row r="33" spans="1:7" ht="15" customHeight="1">
      <c r="A33" s="890" t="s">
        <v>463</v>
      </c>
      <c r="B33" s="857"/>
      <c r="C33" s="857"/>
      <c r="D33" s="857"/>
      <c r="E33" s="854"/>
      <c r="F33" s="854"/>
      <c r="G33" s="854"/>
    </row>
    <row r="34" spans="1:7" ht="15" customHeight="1">
      <c r="A34" s="891" t="s">
        <v>460</v>
      </c>
      <c r="B34" s="854">
        <f aca="true" t="shared" si="3" ref="B34:F36">B9+(B15+B21-B28)</f>
        <v>323754.64</v>
      </c>
      <c r="C34" s="854">
        <f>C9+(C15+C21-C28)-1</f>
        <v>507463.81000000006</v>
      </c>
      <c r="D34" s="911">
        <f>D9+(D15+D21-D28)-1</f>
        <v>-59710.19000000001</v>
      </c>
      <c r="E34" s="911">
        <f t="shared" si="3"/>
        <v>-9050.119999999995</v>
      </c>
      <c r="F34" s="911">
        <f>F9+(F15+F21-F28)</f>
        <v>120570.93</v>
      </c>
      <c r="G34" s="854">
        <f>SUM(B34:F34)+1</f>
        <v>883030.0700000001</v>
      </c>
    </row>
    <row r="35" spans="1:7" ht="15" customHeight="1">
      <c r="A35" s="891" t="s">
        <v>461</v>
      </c>
      <c r="B35" s="854">
        <f>B10+(B16+B22-B29)</f>
        <v>60055.26</v>
      </c>
      <c r="C35" s="911">
        <f>C10+(C16+C22-C29)+1</f>
        <v>-29903.889999999956</v>
      </c>
      <c r="D35" s="911">
        <f>D10+(D16+D22-D29)</f>
        <v>-561.1899999999987</v>
      </c>
      <c r="E35" s="854">
        <f>E10+(E16+E22-E29)</f>
        <v>0</v>
      </c>
      <c r="F35" s="911">
        <f t="shared" si="3"/>
        <v>-1000</v>
      </c>
      <c r="G35" s="854">
        <f>SUM(B35:F35)</f>
        <v>28590.180000000048</v>
      </c>
    </row>
    <row r="36" spans="1:7" ht="15" customHeight="1">
      <c r="A36" s="891" t="s">
        <v>462</v>
      </c>
      <c r="B36" s="854">
        <f t="shared" si="3"/>
        <v>0</v>
      </c>
      <c r="C36" s="854">
        <f t="shared" si="3"/>
        <v>0</v>
      </c>
      <c r="D36" s="854">
        <f t="shared" si="3"/>
        <v>0</v>
      </c>
      <c r="E36" s="854">
        <f t="shared" si="3"/>
        <v>0</v>
      </c>
      <c r="F36" s="854">
        <f t="shared" si="3"/>
        <v>0</v>
      </c>
      <c r="G36" s="854">
        <f>SUM(B36:F36)</f>
        <v>0</v>
      </c>
    </row>
    <row r="37" spans="1:7" ht="15" customHeight="1" thickBot="1">
      <c r="A37" s="892" t="s">
        <v>448</v>
      </c>
      <c r="B37" s="862">
        <f aca="true" t="shared" si="4" ref="B37:G37">SUM(B34:B36)</f>
        <v>383809.9</v>
      </c>
      <c r="C37" s="862">
        <f t="shared" si="4"/>
        <v>477559.9200000001</v>
      </c>
      <c r="D37" s="913">
        <f t="shared" si="4"/>
        <v>-60271.380000000005</v>
      </c>
      <c r="E37" s="913">
        <f t="shared" si="4"/>
        <v>-9050.119999999995</v>
      </c>
      <c r="F37" s="913">
        <f t="shared" si="4"/>
        <v>119570.93</v>
      </c>
      <c r="G37" s="862">
        <f t="shared" si="4"/>
        <v>911620.2500000001</v>
      </c>
    </row>
    <row r="38" spans="2:7" ht="15" customHeight="1" thickTop="1">
      <c r="B38" s="859"/>
      <c r="C38" s="859"/>
      <c r="D38" s="859"/>
      <c r="G38" s="863"/>
    </row>
    <row r="39" spans="1:7" s="783" customFormat="1" ht="15" customHeight="1">
      <c r="A39" s="894"/>
      <c r="B39" s="784"/>
      <c r="C39" s="784"/>
      <c r="D39" s="784"/>
      <c r="E39" s="785"/>
      <c r="F39" s="785"/>
      <c r="G39" s="785"/>
    </row>
    <row r="40" spans="2:4" ht="15" customHeight="1">
      <c r="B40" s="852"/>
      <c r="C40" s="852"/>
      <c r="D40" s="852"/>
    </row>
    <row r="41" spans="2:4" ht="15" customHeight="1">
      <c r="B41" s="852"/>
      <c r="C41" s="852"/>
      <c r="D41" s="852"/>
    </row>
    <row r="42" spans="2:4" ht="15" customHeight="1">
      <c r="B42" s="852"/>
      <c r="C42" s="852"/>
      <c r="D42" s="852"/>
    </row>
    <row r="43" spans="1:4" ht="15" customHeight="1">
      <c r="A43" s="889"/>
      <c r="B43" s="852"/>
      <c r="C43" s="852"/>
      <c r="D43" s="852"/>
    </row>
    <row r="44" spans="1:4" ht="15" customHeight="1">
      <c r="A44" s="889"/>
      <c r="B44" s="852"/>
      <c r="C44" s="852"/>
      <c r="D44" s="852"/>
    </row>
    <row r="45" spans="1:4" ht="15" customHeight="1">
      <c r="A45" s="889"/>
      <c r="B45" s="852"/>
      <c r="C45" s="852"/>
      <c r="D45" s="852"/>
    </row>
    <row r="46" spans="1:4" ht="15" customHeight="1">
      <c r="A46" s="889"/>
      <c r="B46" s="852"/>
      <c r="C46" s="852"/>
      <c r="D46" s="852"/>
    </row>
    <row r="47" spans="1:4" ht="15" customHeight="1">
      <c r="A47" s="889"/>
      <c r="B47" s="852"/>
      <c r="C47" s="852"/>
      <c r="D47" s="852"/>
    </row>
    <row r="48" spans="1:4" ht="15" customHeight="1">
      <c r="A48" s="889"/>
      <c r="B48" s="852"/>
      <c r="C48" s="852"/>
      <c r="D48" s="852"/>
    </row>
    <row r="49" spans="1:4" ht="15" customHeight="1">
      <c r="A49" s="889"/>
      <c r="B49" s="852"/>
      <c r="C49" s="852"/>
      <c r="D49" s="852"/>
    </row>
    <row r="50" spans="1:4" ht="15" customHeight="1">
      <c r="A50" s="889"/>
      <c r="B50" s="852"/>
      <c r="C50" s="852"/>
      <c r="D50" s="852"/>
    </row>
    <row r="51" spans="1:4" ht="15" customHeight="1">
      <c r="A51" s="889"/>
      <c r="B51" s="852"/>
      <c r="C51" s="852"/>
      <c r="D51" s="852"/>
    </row>
    <row r="52" spans="1:4" ht="15" customHeight="1">
      <c r="A52" s="889"/>
      <c r="B52" s="852"/>
      <c r="C52" s="852"/>
      <c r="D52" s="852"/>
    </row>
    <row r="53" spans="1:4" ht="15" customHeight="1">
      <c r="A53" s="889"/>
      <c r="B53" s="852"/>
      <c r="C53" s="852"/>
      <c r="D53" s="852"/>
    </row>
    <row r="54" spans="1:4" ht="15" customHeight="1">
      <c r="A54" s="889"/>
      <c r="B54" s="852"/>
      <c r="C54" s="852"/>
      <c r="D54" s="852"/>
    </row>
    <row r="55" ht="15" customHeight="1">
      <c r="A55" s="889"/>
    </row>
    <row r="56" ht="15" customHeight="1">
      <c r="A56" s="889"/>
    </row>
    <row r="57" ht="15" customHeight="1">
      <c r="A57" s="889"/>
    </row>
    <row r="58" ht="15" customHeight="1">
      <c r="A58" s="889"/>
    </row>
    <row r="59" ht="15" customHeight="1">
      <c r="A59" s="889"/>
    </row>
    <row r="60" ht="15" customHeight="1">
      <c r="A60" s="889"/>
    </row>
    <row r="61" ht="15" customHeight="1">
      <c r="A61" s="889"/>
    </row>
    <row r="62" ht="15" customHeight="1">
      <c r="A62" s="889"/>
    </row>
    <row r="63" ht="15" customHeight="1">
      <c r="A63" s="889"/>
    </row>
    <row r="64" ht="15" customHeight="1">
      <c r="A64" s="889"/>
    </row>
    <row r="65" ht="15" customHeight="1">
      <c r="A65" s="889"/>
    </row>
    <row r="66" ht="15" customHeight="1">
      <c r="A66" s="889"/>
    </row>
    <row r="67" ht="15" customHeight="1">
      <c r="A67" s="889"/>
    </row>
    <row r="68" ht="15" customHeight="1">
      <c r="A68" s="889"/>
    </row>
    <row r="69" ht="15" customHeight="1">
      <c r="A69" s="889"/>
    </row>
    <row r="70" ht="15" customHeight="1">
      <c r="A70" s="889"/>
    </row>
    <row r="71" ht="15" customHeight="1">
      <c r="A71" s="889"/>
    </row>
    <row r="72" ht="15" customHeight="1">
      <c r="A72" s="889"/>
    </row>
    <row r="73" ht="15" customHeight="1">
      <c r="A73" s="889"/>
    </row>
    <row r="74" ht="15" customHeight="1">
      <c r="A74" s="889"/>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93" customWidth="1"/>
    <col min="2" max="4" width="16.7109375" style="565" customWidth="1"/>
    <col min="5" max="7" width="16.7109375" style="566" customWidth="1"/>
    <col min="8" max="16384" width="15.7109375" style="340" customWidth="1"/>
  </cols>
  <sheetData>
    <row r="1" spans="1:7" s="363" customFormat="1" ht="24.75" customHeight="1">
      <c r="A1" s="1002" t="s">
        <v>320</v>
      </c>
      <c r="B1" s="1002"/>
      <c r="C1" s="1002"/>
      <c r="D1" s="1002"/>
      <c r="E1" s="1002"/>
      <c r="F1" s="1002"/>
      <c r="G1" s="1002"/>
    </row>
    <row r="2" spans="1:7" s="166" customFormat="1" ht="15" customHeight="1">
      <c r="A2" s="889"/>
      <c r="B2" s="851"/>
      <c r="C2" s="851"/>
      <c r="D2" s="851"/>
      <c r="E2" s="851"/>
      <c r="F2" s="851"/>
      <c r="G2" s="851"/>
    </row>
    <row r="3" spans="1:7" s="167" customFormat="1" ht="15" customHeight="1">
      <c r="A3" s="1003" t="s">
        <v>454</v>
      </c>
      <c r="B3" s="1003"/>
      <c r="C3" s="1003"/>
      <c r="D3" s="1003"/>
      <c r="E3" s="1003"/>
      <c r="F3" s="1003"/>
      <c r="G3" s="1003"/>
    </row>
    <row r="4" spans="1:7" s="167" customFormat="1" ht="15" customHeight="1">
      <c r="A4" s="1003" t="s">
        <v>5</v>
      </c>
      <c r="B4" s="1003"/>
      <c r="C4" s="1003"/>
      <c r="D4" s="1003"/>
      <c r="E4" s="1003"/>
      <c r="F4" s="1003"/>
      <c r="G4" s="1003"/>
    </row>
    <row r="5" spans="1:7" s="364" customFormat="1" ht="15" customHeight="1">
      <c r="A5" s="889"/>
      <c r="B5" s="564"/>
      <c r="C5" s="564"/>
      <c r="D5" s="564"/>
      <c r="E5" s="851"/>
      <c r="F5" s="851"/>
      <c r="G5" s="851"/>
    </row>
    <row r="6" spans="2:7" ht="30" customHeight="1">
      <c r="B6" s="875" t="s">
        <v>16</v>
      </c>
      <c r="C6" s="875" t="s">
        <v>67</v>
      </c>
      <c r="D6" s="875" t="s">
        <v>62</v>
      </c>
      <c r="E6" s="875" t="s">
        <v>70</v>
      </c>
      <c r="F6" s="876" t="s">
        <v>17</v>
      </c>
      <c r="G6" s="875" t="s">
        <v>321</v>
      </c>
    </row>
    <row r="7" spans="1:7" ht="15" customHeight="1">
      <c r="A7" s="890" t="s">
        <v>455</v>
      </c>
      <c r="B7" s="852"/>
      <c r="C7" s="852"/>
      <c r="D7" s="852"/>
      <c r="E7" s="852"/>
      <c r="F7" s="852"/>
      <c r="G7" s="852"/>
    </row>
    <row r="8" spans="1:7" ht="15" customHeight="1">
      <c r="A8" s="890" t="s">
        <v>71</v>
      </c>
      <c r="B8" s="853"/>
      <c r="C8" s="853"/>
      <c r="D8" s="853"/>
      <c r="E8" s="853"/>
      <c r="F8" s="853"/>
      <c r="G8" s="853"/>
    </row>
    <row r="9" spans="1:7" ht="15" customHeight="1">
      <c r="A9" s="891" t="s">
        <v>457</v>
      </c>
      <c r="B9" s="907">
        <f>'[7]Loss Expenses Paid YTD-16'!E33</f>
        <v>712520.02</v>
      </c>
      <c r="C9" s="907">
        <f>'[7]Loss Expenses Paid YTD-16'!E27+'[7]2Q09 Trial Balance'!E294</f>
        <v>2465054.96</v>
      </c>
      <c r="D9" s="907">
        <f>'[7]Loss Expenses Paid YTD-16'!E21</f>
        <v>254176.83</v>
      </c>
      <c r="E9" s="907">
        <f>'[7]Loss Expenses Paid YTD-16'!E15</f>
        <v>26049.88</v>
      </c>
      <c r="F9" s="907">
        <f>'[7]Loss Expenses Paid YTD-16'!E9+'[7]2Q09 Trial Balance'!F288</f>
        <v>-71385.6</v>
      </c>
      <c r="G9" s="907">
        <f>SUM(B9:F9)</f>
        <v>3386416.09</v>
      </c>
    </row>
    <row r="10" spans="1:7" ht="15" customHeight="1">
      <c r="A10" s="891" t="s">
        <v>458</v>
      </c>
      <c r="B10" s="854">
        <f>'[7]Loss Expenses Paid YTD-16'!E34</f>
        <v>30477.16</v>
      </c>
      <c r="C10" s="854">
        <f>'[7]Loss Expenses Paid YTD-16'!E28+'[7]2Q09 Trial Balance'!E295</f>
        <v>270205.88</v>
      </c>
      <c r="D10" s="854">
        <f>'[7]Loss Expenses Paid YTD-16'!E22+'[7]2Q09 Trial Balance'!E292</f>
        <v>31798.699999999997</v>
      </c>
      <c r="E10" s="911">
        <f>'[7]2Q09 Trial Balance'!E290</f>
        <v>-1392.79</v>
      </c>
      <c r="F10" s="854">
        <f>'[7]Loss Expenses Paid YTD-16'!E10</f>
        <v>0</v>
      </c>
      <c r="G10" s="854">
        <f>SUM(B10:F10)</f>
        <v>331088.95</v>
      </c>
    </row>
    <row r="11" spans="1:7" ht="15" customHeight="1">
      <c r="A11" s="891" t="s">
        <v>459</v>
      </c>
      <c r="B11" s="854">
        <f>'[7]Loss Expenses Paid YTD-16'!E35</f>
        <v>0</v>
      </c>
      <c r="C11" s="854">
        <f>'[7]Loss Expenses Paid YTD-16'!E29</f>
        <v>0</v>
      </c>
      <c r="D11" s="854">
        <f>'[7]Loss Expenses Paid YTD-16'!E23</f>
        <v>0</v>
      </c>
      <c r="E11" s="854">
        <f>'[7]Loss Expenses Paid YTD-16'!E17</f>
        <v>0</v>
      </c>
      <c r="F11" s="854">
        <f>'[7]Loss Expenses Paid YTD-16'!E11</f>
        <v>0</v>
      </c>
      <c r="G11" s="854">
        <f>SUM(B11:F11)</f>
        <v>0</v>
      </c>
    </row>
    <row r="12" spans="1:7" ht="15" customHeight="1" thickBot="1">
      <c r="A12" s="892" t="s">
        <v>448</v>
      </c>
      <c r="B12" s="829">
        <f aca="true" t="shared" si="0" ref="B12:G12">SUM(B9:B11)</f>
        <v>742997.18</v>
      </c>
      <c r="C12" s="829">
        <f t="shared" si="0"/>
        <v>2735260.84</v>
      </c>
      <c r="D12" s="829">
        <f t="shared" si="0"/>
        <v>285975.52999999997</v>
      </c>
      <c r="E12" s="912">
        <f t="shared" si="0"/>
        <v>24657.09</v>
      </c>
      <c r="F12" s="912">
        <f t="shared" si="0"/>
        <v>-71385.6</v>
      </c>
      <c r="G12" s="895">
        <f t="shared" si="0"/>
        <v>3717505.04</v>
      </c>
    </row>
    <row r="13" spans="1:7" ht="15" customHeight="1" thickTop="1">
      <c r="A13" s="890"/>
      <c r="B13" s="857"/>
      <c r="C13" s="857"/>
      <c r="D13" s="857"/>
      <c r="E13" s="854"/>
      <c r="F13" s="854"/>
      <c r="G13" s="854"/>
    </row>
    <row r="14" spans="1:7" ht="15" customHeight="1">
      <c r="A14" s="890" t="s">
        <v>13</v>
      </c>
      <c r="B14" s="857"/>
      <c r="C14" s="857"/>
      <c r="D14" s="857"/>
      <c r="E14" s="854"/>
      <c r="F14" s="854"/>
      <c r="G14" s="854"/>
    </row>
    <row r="15" spans="1:7" ht="15" customHeight="1">
      <c r="A15" s="891" t="s">
        <v>460</v>
      </c>
      <c r="B15" s="854">
        <f>'[7]Unpaid Loss Reserves-13'!D35</f>
        <v>275574.06</v>
      </c>
      <c r="C15" s="854">
        <f>'[7]Unpaid Loss Reserves-13'!D28</f>
        <v>1404814.19</v>
      </c>
      <c r="D15" s="854">
        <f>'[7]Unpaid Loss Reserves-13'!D22</f>
        <v>76855</v>
      </c>
      <c r="E15" s="854">
        <f>'[7]Unpaid Loss Reserves-13'!D15</f>
        <v>49500</v>
      </c>
      <c r="F15" s="854">
        <f>'[7]Unpaid Loss Reserves-13'!D8</f>
        <v>246980.6</v>
      </c>
      <c r="G15" s="854">
        <f>SUM(B15:F15)</f>
        <v>2053723.85</v>
      </c>
    </row>
    <row r="16" spans="1:7" ht="15" customHeight="1">
      <c r="A16" s="891" t="s">
        <v>461</v>
      </c>
      <c r="B16" s="854">
        <f>'[7]Unpaid Loss Reserves-13'!D36</f>
        <v>35660</v>
      </c>
      <c r="C16" s="854">
        <f>'[7]Unpaid Loss Reserves-13'!D29</f>
        <v>96675</v>
      </c>
      <c r="D16" s="854">
        <f>'[7]Unpaid Loss Reserves-13'!D23</f>
        <v>23500</v>
      </c>
      <c r="E16" s="854">
        <f>'[7]Unpaid Loss Reserves-13'!D16</f>
        <v>0</v>
      </c>
      <c r="F16" s="854">
        <f>'[7]Unpaid Loss Reserves-13'!D9</f>
        <v>0</v>
      </c>
      <c r="G16" s="854">
        <f>SUM(B16:F16)</f>
        <v>155835</v>
      </c>
    </row>
    <row r="17" spans="1:7" ht="15" customHeight="1">
      <c r="A17" s="891" t="s">
        <v>462</v>
      </c>
      <c r="B17" s="854">
        <f>'[7]Unpaid Loss Reserves-13'!D37</f>
        <v>0</v>
      </c>
      <c r="C17" s="854">
        <f>'[7]Unpaid Loss Reserves-13'!D30</f>
        <v>0</v>
      </c>
      <c r="D17" s="854">
        <f>'[7]Unpaid Loss Reserves-13'!D24</f>
        <v>0</v>
      </c>
      <c r="E17" s="854">
        <f>'[7]Unpaid Loss Reserves-13'!D17</f>
        <v>0</v>
      </c>
      <c r="F17" s="854">
        <f>'[7]Unpaid Loss Reserves-13'!D10</f>
        <v>0</v>
      </c>
      <c r="G17" s="854">
        <f>SUM(B17:F17)</f>
        <v>0</v>
      </c>
    </row>
    <row r="18" spans="1:7" ht="15" customHeight="1" thickBot="1">
      <c r="A18" s="892" t="s">
        <v>448</v>
      </c>
      <c r="B18" s="829">
        <f aca="true" t="shared" si="1" ref="B18:G18">SUM(B15:B17)</f>
        <v>311234.06</v>
      </c>
      <c r="C18" s="829">
        <f t="shared" si="1"/>
        <v>1501489.19</v>
      </c>
      <c r="D18" s="829">
        <f t="shared" si="1"/>
        <v>100355</v>
      </c>
      <c r="E18" s="855">
        <f t="shared" si="1"/>
        <v>49500</v>
      </c>
      <c r="F18" s="855">
        <f t="shared" si="1"/>
        <v>246980.6</v>
      </c>
      <c r="G18" s="856">
        <f t="shared" si="1"/>
        <v>2209558.85</v>
      </c>
    </row>
    <row r="19" spans="1:7" ht="15" customHeight="1" thickTop="1">
      <c r="A19" s="890"/>
      <c r="B19" s="827"/>
      <c r="C19" s="827"/>
      <c r="D19" s="827"/>
      <c r="E19" s="858"/>
      <c r="F19" s="858"/>
      <c r="G19" s="858"/>
    </row>
    <row r="20" spans="1:7" ht="15" customHeight="1">
      <c r="A20" s="890" t="s">
        <v>14</v>
      </c>
      <c r="B20" s="859"/>
      <c r="C20" s="859"/>
      <c r="D20" s="859"/>
      <c r="E20" s="859"/>
      <c r="F20" s="859"/>
      <c r="G20" s="859"/>
    </row>
    <row r="21" spans="1:7" ht="15" customHeight="1">
      <c r="A21" s="891" t="s">
        <v>460</v>
      </c>
      <c r="B21" s="854">
        <f>'[7]Unpaid Loss Reserves-13'!B35</f>
        <v>62660.56</v>
      </c>
      <c r="C21" s="854">
        <f>'[7]Unpaid Loss Reserves-13'!B28</f>
        <v>72650.42</v>
      </c>
      <c r="D21" s="854">
        <f>'[7]Unpaid Loss Reserves-13'!B22</f>
        <v>8730.48</v>
      </c>
      <c r="E21" s="854">
        <f>'[7]Unpaid Loss Reserves-13'!B15</f>
        <v>0</v>
      </c>
      <c r="F21" s="854">
        <f>'[7]Unpaid Loss Reserves-13'!B8</f>
        <v>0</v>
      </c>
      <c r="G21" s="854">
        <f>SUM(B21:F21)</f>
        <v>144041.46</v>
      </c>
    </row>
    <row r="22" spans="1:7" ht="15" customHeight="1">
      <c r="A22" s="891" t="s">
        <v>461</v>
      </c>
      <c r="B22" s="854">
        <f>'[7]Unpaid Loss Reserves-13'!B36</f>
        <v>8108.44</v>
      </c>
      <c r="C22" s="854">
        <f>'[7]Unpaid Loss Reserves-13'!B29</f>
        <v>4999.58</v>
      </c>
      <c r="D22" s="854">
        <f>'[7]Unpaid Loss Reserves-13'!B23</f>
        <v>2669.52</v>
      </c>
      <c r="E22" s="854">
        <f>'[7]Unpaid Loss Reserves-13'!B16</f>
        <v>0</v>
      </c>
      <c r="F22" s="854">
        <f>'[7]Unpaid Loss Reserves-13'!B9</f>
        <v>0</v>
      </c>
      <c r="G22" s="854">
        <f>SUM(B22:F22)</f>
        <v>15777.54</v>
      </c>
    </row>
    <row r="23" spans="1:7" ht="15" customHeight="1">
      <c r="A23" s="891" t="s">
        <v>462</v>
      </c>
      <c r="B23" s="854">
        <f>'[7]Unpaid Loss Reserves-13'!B37</f>
        <v>0</v>
      </c>
      <c r="C23" s="854">
        <f>'[7]Unpaid Loss Reserves-13'!B30</f>
        <v>0</v>
      </c>
      <c r="D23" s="854">
        <f>'[7]Unpaid Loss Reserves-13'!B24</f>
        <v>0</v>
      </c>
      <c r="E23" s="854">
        <f>'[7]Unpaid Loss Reserves-13'!B17</f>
        <v>0</v>
      </c>
      <c r="F23" s="854">
        <f>'[7]Unpaid Loss Reserves-13'!B10</f>
        <v>0</v>
      </c>
      <c r="G23" s="854">
        <f>SUM(B23:F23)</f>
        <v>0</v>
      </c>
    </row>
    <row r="24" spans="1:7" ht="15" customHeight="1" thickBot="1">
      <c r="A24" s="892" t="s">
        <v>448</v>
      </c>
      <c r="B24" s="829">
        <f aca="true" t="shared" si="2" ref="B24:G24">SUM(B21:B23)</f>
        <v>70769</v>
      </c>
      <c r="C24" s="829">
        <f t="shared" si="2"/>
        <v>77650</v>
      </c>
      <c r="D24" s="829">
        <f t="shared" si="2"/>
        <v>11400</v>
      </c>
      <c r="E24" s="855">
        <f t="shared" si="2"/>
        <v>0</v>
      </c>
      <c r="F24" s="855">
        <f t="shared" si="2"/>
        <v>0</v>
      </c>
      <c r="G24" s="856">
        <f t="shared" si="2"/>
        <v>159819</v>
      </c>
    </row>
    <row r="25" spans="1:7" ht="15" customHeight="1" thickTop="1">
      <c r="A25" s="890"/>
      <c r="B25" s="857"/>
      <c r="C25" s="857"/>
      <c r="D25" s="857"/>
      <c r="E25" s="854"/>
      <c r="F25" s="854"/>
      <c r="G25" s="854"/>
    </row>
    <row r="26" spans="1:7" ht="15" customHeight="1">
      <c r="A26" s="890" t="s">
        <v>10</v>
      </c>
      <c r="B26" s="860"/>
      <c r="C26" s="860"/>
      <c r="D26" s="860"/>
      <c r="E26" s="854"/>
      <c r="F26" s="854"/>
      <c r="G26" s="854"/>
    </row>
    <row r="27" spans="1:7" ht="15" customHeight="1">
      <c r="A27" s="890" t="s">
        <v>72</v>
      </c>
      <c r="B27" s="860"/>
      <c r="C27" s="860"/>
      <c r="D27" s="860"/>
      <c r="E27" s="854"/>
      <c r="F27" s="854"/>
      <c r="G27" s="854"/>
    </row>
    <row r="28" spans="1:7" ht="15" customHeight="1">
      <c r="A28" s="891" t="s">
        <v>460</v>
      </c>
      <c r="B28" s="857">
        <v>0</v>
      </c>
      <c r="C28" s="857">
        <v>2291722</v>
      </c>
      <c r="D28" s="857">
        <v>612564</v>
      </c>
      <c r="E28" s="857">
        <v>98500</v>
      </c>
      <c r="F28" s="857">
        <v>118981</v>
      </c>
      <c r="G28" s="854">
        <f>SUM(B28:F28)</f>
        <v>3121767</v>
      </c>
    </row>
    <row r="29" spans="1:7" ht="15" customHeight="1">
      <c r="A29" s="891" t="s">
        <v>461</v>
      </c>
      <c r="B29" s="857">
        <v>0</v>
      </c>
      <c r="C29" s="857">
        <v>65524</v>
      </c>
      <c r="D29" s="857">
        <v>57497</v>
      </c>
      <c r="E29" s="857">
        <v>0</v>
      </c>
      <c r="F29" s="857">
        <v>1000</v>
      </c>
      <c r="G29" s="854">
        <f>SUM(B29:F29)</f>
        <v>124021</v>
      </c>
    </row>
    <row r="30" spans="1:7" ht="15" customHeight="1">
      <c r="A30" s="891" t="s">
        <v>462</v>
      </c>
      <c r="B30" s="857">
        <v>0</v>
      </c>
      <c r="C30" s="857">
        <v>0</v>
      </c>
      <c r="D30" s="857">
        <v>0</v>
      </c>
      <c r="E30" s="857">
        <v>0</v>
      </c>
      <c r="F30" s="857">
        <v>0</v>
      </c>
      <c r="G30" s="854">
        <f>SUM(B30:F30)</f>
        <v>0</v>
      </c>
    </row>
    <row r="31" spans="1:7" ht="15" customHeight="1" thickBot="1">
      <c r="A31" s="892" t="s">
        <v>448</v>
      </c>
      <c r="B31" s="829">
        <f aca="true" t="shared" si="3" ref="B31:G31">SUM(B28:B30)</f>
        <v>0</v>
      </c>
      <c r="C31" s="829">
        <f t="shared" si="3"/>
        <v>2357246</v>
      </c>
      <c r="D31" s="829">
        <f t="shared" si="3"/>
        <v>670061</v>
      </c>
      <c r="E31" s="855">
        <f t="shared" si="3"/>
        <v>98500</v>
      </c>
      <c r="F31" s="855">
        <f>SUM(F28:F30)</f>
        <v>119981</v>
      </c>
      <c r="G31" s="856">
        <f t="shared" si="3"/>
        <v>3245788</v>
      </c>
    </row>
    <row r="32" spans="1:7" s="861" customFormat="1" ht="15" customHeight="1" thickTop="1">
      <c r="A32" s="890"/>
      <c r="B32" s="860"/>
      <c r="C32" s="860"/>
      <c r="D32" s="860"/>
      <c r="E32" s="860"/>
      <c r="F32" s="860"/>
      <c r="G32" s="860"/>
    </row>
    <row r="33" spans="1:7" ht="15" customHeight="1">
      <c r="A33" s="890" t="s">
        <v>463</v>
      </c>
      <c r="B33" s="857"/>
      <c r="C33" s="857"/>
      <c r="D33" s="857"/>
      <c r="E33" s="854"/>
      <c r="F33" s="854"/>
      <c r="G33" s="854"/>
    </row>
    <row r="34" spans="1:7" ht="15" customHeight="1">
      <c r="A34" s="891" t="s">
        <v>460</v>
      </c>
      <c r="B34" s="854">
        <f aca="true" t="shared" si="4" ref="B34:F36">B9+(B15+B21-B28)</f>
        <v>1050754.6400000001</v>
      </c>
      <c r="C34" s="854">
        <f>C9+(C15+C21-C28)-1</f>
        <v>1650796.5699999998</v>
      </c>
      <c r="D34" s="911">
        <f t="shared" si="4"/>
        <v>-272801.69000000006</v>
      </c>
      <c r="E34" s="911">
        <f t="shared" si="4"/>
        <v>-22950.12</v>
      </c>
      <c r="F34" s="911">
        <f>F9+(F15+F21-F28)</f>
        <v>56614</v>
      </c>
      <c r="G34" s="854">
        <f>SUM(B34:F34)+1</f>
        <v>2462414.4</v>
      </c>
    </row>
    <row r="35" spans="1:7" ht="15" customHeight="1">
      <c r="A35" s="891" t="s">
        <v>461</v>
      </c>
      <c r="B35" s="854">
        <f>B10+(B16+B22-B29)-1</f>
        <v>74244.6</v>
      </c>
      <c r="C35" s="854">
        <f>C10+(C16+C22-C29)+1</f>
        <v>306357.46</v>
      </c>
      <c r="D35" s="911">
        <f>D10+(D16+D22-D29)+1</f>
        <v>472.2199999999975</v>
      </c>
      <c r="E35" s="911">
        <f>E10+(E16+E22-E29)</f>
        <v>-1392.79</v>
      </c>
      <c r="F35" s="911">
        <f t="shared" si="4"/>
        <v>-1000</v>
      </c>
      <c r="G35" s="854">
        <f>SUM(B35:F35)</f>
        <v>378681.49000000005</v>
      </c>
    </row>
    <row r="36" spans="1:7" ht="15" customHeight="1">
      <c r="A36" s="891" t="s">
        <v>462</v>
      </c>
      <c r="B36" s="854">
        <f t="shared" si="4"/>
        <v>0</v>
      </c>
      <c r="C36" s="854">
        <f t="shared" si="4"/>
        <v>0</v>
      </c>
      <c r="D36" s="854">
        <f t="shared" si="4"/>
        <v>0</v>
      </c>
      <c r="E36" s="854">
        <f t="shared" si="4"/>
        <v>0</v>
      </c>
      <c r="F36" s="854">
        <f t="shared" si="4"/>
        <v>0</v>
      </c>
      <c r="G36" s="854">
        <f>SUM(B36:F36)</f>
        <v>0</v>
      </c>
    </row>
    <row r="37" spans="1:7" ht="15" customHeight="1" thickBot="1">
      <c r="A37" s="892" t="s">
        <v>448</v>
      </c>
      <c r="B37" s="862">
        <f>SUM(B34:B36)+1</f>
        <v>1125000.2400000002</v>
      </c>
      <c r="C37" s="862">
        <f>SUM(C34:C36)</f>
        <v>1957154.0299999998</v>
      </c>
      <c r="D37" s="913">
        <f>SUM(D34:D36)-1</f>
        <v>-272330.4700000001</v>
      </c>
      <c r="E37" s="913">
        <f>SUM(E34:E36)</f>
        <v>-24342.91</v>
      </c>
      <c r="F37" s="913">
        <f>SUM(F34:F36)</f>
        <v>55614</v>
      </c>
      <c r="G37" s="913">
        <f>SUM(G34:G36)-1</f>
        <v>2841094.89</v>
      </c>
    </row>
    <row r="38" spans="2:7" ht="15" customHeight="1" thickTop="1">
      <c r="B38" s="859"/>
      <c r="C38" s="859"/>
      <c r="D38" s="859"/>
      <c r="G38" s="854"/>
    </row>
    <row r="39" spans="1:7" s="783" customFormat="1" ht="15" customHeight="1">
      <c r="A39" s="894"/>
      <c r="B39" s="784"/>
      <c r="C39" s="784"/>
      <c r="D39" s="784"/>
      <c r="E39" s="785"/>
      <c r="F39" s="785"/>
      <c r="G39" s="854"/>
    </row>
    <row r="40" spans="2:4" ht="15" customHeight="1">
      <c r="B40" s="852"/>
      <c r="C40" s="852"/>
      <c r="D40" s="852"/>
    </row>
    <row r="41" spans="2:4" ht="15" customHeight="1">
      <c r="B41" s="852"/>
      <c r="C41" s="852"/>
      <c r="D41" s="852"/>
    </row>
    <row r="42" spans="2:4" ht="15" customHeight="1">
      <c r="B42" s="852"/>
      <c r="C42" s="852"/>
      <c r="D42" s="852"/>
    </row>
    <row r="43" spans="1:4" ht="15" customHeight="1">
      <c r="A43" s="889"/>
      <c r="B43" s="852"/>
      <c r="C43" s="852"/>
      <c r="D43" s="852"/>
    </row>
    <row r="44" spans="1:4" ht="15" customHeight="1">
      <c r="A44" s="889"/>
      <c r="B44" s="852"/>
      <c r="C44" s="852"/>
      <c r="D44" s="852"/>
    </row>
    <row r="45" spans="1:4" ht="15" customHeight="1">
      <c r="A45" s="889"/>
      <c r="B45" s="852"/>
      <c r="C45" s="852"/>
      <c r="D45" s="852"/>
    </row>
    <row r="46" spans="1:4" ht="15" customHeight="1">
      <c r="A46" s="889"/>
      <c r="B46" s="852"/>
      <c r="C46" s="852"/>
      <c r="D46" s="852"/>
    </row>
    <row r="47" spans="1:4" ht="15" customHeight="1">
      <c r="A47" s="889"/>
      <c r="B47" s="852"/>
      <c r="C47" s="852"/>
      <c r="D47" s="852"/>
    </row>
    <row r="48" spans="1:4" ht="15" customHeight="1">
      <c r="A48" s="889"/>
      <c r="B48" s="852"/>
      <c r="C48" s="852"/>
      <c r="D48" s="852"/>
    </row>
    <row r="49" spans="1:4" ht="15" customHeight="1">
      <c r="A49" s="889"/>
      <c r="B49" s="852"/>
      <c r="C49" s="852"/>
      <c r="D49" s="852"/>
    </row>
    <row r="50" spans="1:4" ht="15" customHeight="1">
      <c r="A50" s="889"/>
      <c r="B50" s="852"/>
      <c r="C50" s="852"/>
      <c r="D50" s="852"/>
    </row>
    <row r="51" spans="1:4" ht="15" customHeight="1">
      <c r="A51" s="889"/>
      <c r="B51" s="852"/>
      <c r="C51" s="852"/>
      <c r="D51" s="852"/>
    </row>
    <row r="52" spans="1:4" ht="15" customHeight="1">
      <c r="A52" s="889"/>
      <c r="B52" s="852"/>
      <c r="C52" s="852"/>
      <c r="D52" s="852"/>
    </row>
    <row r="53" spans="1:4" ht="15" customHeight="1">
      <c r="A53" s="889"/>
      <c r="B53" s="852"/>
      <c r="C53" s="852"/>
      <c r="D53" s="852"/>
    </row>
    <row r="54" spans="1:4" ht="15" customHeight="1">
      <c r="A54" s="889"/>
      <c r="B54" s="852"/>
      <c r="C54" s="852"/>
      <c r="D54" s="852"/>
    </row>
    <row r="55" ht="15" customHeight="1">
      <c r="A55" s="889"/>
    </row>
    <row r="56" ht="15" customHeight="1">
      <c r="A56" s="889"/>
    </row>
    <row r="57" ht="15" customHeight="1">
      <c r="A57" s="889"/>
    </row>
    <row r="58" ht="15" customHeight="1">
      <c r="A58" s="889"/>
    </row>
    <row r="59" ht="15" customHeight="1">
      <c r="A59" s="889"/>
    </row>
    <row r="60" ht="15" customHeight="1">
      <c r="A60" s="889"/>
    </row>
    <row r="61" ht="15" customHeight="1">
      <c r="A61" s="889"/>
    </row>
    <row r="62" ht="15" customHeight="1">
      <c r="A62" s="889"/>
    </row>
    <row r="63" ht="15" customHeight="1">
      <c r="A63" s="889"/>
    </row>
    <row r="64" ht="15" customHeight="1">
      <c r="A64" s="889"/>
    </row>
    <row r="65" ht="15" customHeight="1">
      <c r="A65" s="889"/>
    </row>
    <row r="66" ht="15" customHeight="1">
      <c r="A66" s="889"/>
    </row>
    <row r="67" ht="15" customHeight="1">
      <c r="A67" s="889"/>
    </row>
    <row r="68" ht="15" customHeight="1">
      <c r="A68" s="889"/>
    </row>
    <row r="69" ht="15" customHeight="1">
      <c r="A69" s="889"/>
    </row>
    <row r="70" ht="15" customHeight="1">
      <c r="A70" s="889"/>
    </row>
    <row r="71" ht="15" customHeight="1">
      <c r="A71" s="889"/>
    </row>
    <row r="72" ht="15" customHeight="1">
      <c r="A72" s="889"/>
    </row>
    <row r="73" ht="15" customHeight="1">
      <c r="A73" s="889"/>
    </row>
    <row r="74" ht="15" customHeight="1">
      <c r="A74" s="889"/>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320</v>
      </c>
      <c r="B1" s="307"/>
      <c r="C1" s="307"/>
      <c r="D1" s="307"/>
      <c r="E1" s="335"/>
      <c r="F1" s="335"/>
      <c r="G1" s="336"/>
      <c r="H1" s="260"/>
    </row>
    <row r="2" spans="1:7" ht="15" customHeight="1">
      <c r="A2" s="772"/>
      <c r="B2" s="326"/>
      <c r="C2" s="326"/>
      <c r="D2" s="326"/>
      <c r="E2" s="326"/>
      <c r="F2" s="326"/>
      <c r="G2" s="337"/>
    </row>
    <row r="3" spans="1:8" s="45" customFormat="1" ht="15" customHeight="1">
      <c r="A3" s="634" t="s">
        <v>465</v>
      </c>
      <c r="B3" s="864"/>
      <c r="C3" s="864"/>
      <c r="D3" s="864"/>
      <c r="E3" s="865"/>
      <c r="F3" s="865"/>
      <c r="G3" s="866"/>
      <c r="H3" s="770"/>
    </row>
    <row r="4" spans="1:8" s="45" customFormat="1" ht="15" customHeight="1">
      <c r="A4" s="634" t="s">
        <v>466</v>
      </c>
      <c r="B4" s="864"/>
      <c r="C4" s="864"/>
      <c r="D4" s="864"/>
      <c r="E4" s="865"/>
      <c r="F4" s="865"/>
      <c r="G4" s="866"/>
      <c r="H4" s="770"/>
    </row>
    <row r="5" spans="1:8" s="45" customFormat="1" ht="15" customHeight="1">
      <c r="A5" s="378" t="s">
        <v>6</v>
      </c>
      <c r="B5" s="864"/>
      <c r="C5" s="864"/>
      <c r="D5" s="864"/>
      <c r="E5" s="865"/>
      <c r="F5" s="865"/>
      <c r="G5" s="866"/>
      <c r="H5" s="770"/>
    </row>
    <row r="6" spans="1:7" ht="15" customHeight="1">
      <c r="A6" s="17"/>
      <c r="E6" s="337"/>
      <c r="F6" s="337"/>
      <c r="G6" s="337"/>
    </row>
    <row r="7" spans="1:7" ht="30" customHeight="1">
      <c r="A7" s="47"/>
      <c r="B7" s="875" t="s">
        <v>16</v>
      </c>
      <c r="C7" s="875" t="s">
        <v>67</v>
      </c>
      <c r="D7" s="875" t="s">
        <v>62</v>
      </c>
      <c r="E7" s="875" t="s">
        <v>70</v>
      </c>
      <c r="F7" s="876" t="s">
        <v>17</v>
      </c>
      <c r="G7" s="877" t="s">
        <v>321</v>
      </c>
    </row>
    <row r="8" spans="1:7" ht="30" customHeight="1">
      <c r="A8" s="867" t="s">
        <v>61</v>
      </c>
      <c r="B8" s="311"/>
      <c r="C8" s="311"/>
      <c r="D8" s="311"/>
      <c r="G8" s="868"/>
    </row>
    <row r="9" spans="1:38" ht="15" customHeight="1">
      <c r="A9" s="18" t="s">
        <v>445</v>
      </c>
      <c r="B9" s="869">
        <f>'[7]Loss Expenses Paid QTD-15'!K33</f>
        <v>51488.689999999995</v>
      </c>
      <c r="C9" s="869">
        <f>'[7]Loss Expenses Paid QTD-15'!K27</f>
        <v>141718.66</v>
      </c>
      <c r="D9" s="869">
        <f>'[7]Loss Expenses Paid QTD-15'!K21</f>
        <v>13086.01</v>
      </c>
      <c r="E9" s="869">
        <f>'[7]Loss Expenses Paid QTD-15'!K15</f>
        <v>11555.32</v>
      </c>
      <c r="F9" s="869">
        <f>'[7]Loss Expenses Paid QTD-15'!K9</f>
        <v>3120.02</v>
      </c>
      <c r="G9" s="869">
        <f>SUM(B9:F9)</f>
        <v>220968.7</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446</v>
      </c>
      <c r="B10" s="122">
        <f>'[7]Loss Expenses Paid QTD-15'!K34</f>
        <v>13223.08</v>
      </c>
      <c r="C10" s="122">
        <f>'[7]Loss Expenses Paid QTD-15'!K28</f>
        <v>53842.56</v>
      </c>
      <c r="D10" s="122">
        <f>'[7]Loss Expenses Paid QTD-15'!K22</f>
        <v>4517.13</v>
      </c>
      <c r="E10" s="122">
        <f>'[7]Loss Expenses Paid QTD-15'!K16</f>
        <v>0</v>
      </c>
      <c r="F10" s="122">
        <f>'[7]Loss Expenses Paid QTD-15'!K10</f>
        <v>1079.5</v>
      </c>
      <c r="G10" s="122">
        <f>SUM(B10:F10)+1</f>
        <v>72663.27</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447</v>
      </c>
      <c r="B11" s="122">
        <f>'[7]Loss Expenses Paid QTD-15'!K35</f>
        <v>125</v>
      </c>
      <c r="C11" s="122">
        <f>'[7]Loss Expenses Paid QTD-15'!K29</f>
        <v>0</v>
      </c>
      <c r="D11" s="122">
        <f>'[7]Loss Expenses Paid QTD-15'!K23</f>
        <v>0</v>
      </c>
      <c r="E11" s="122">
        <f>'[7]Loss Expenses Paid QTD-15'!K17</f>
        <v>0</v>
      </c>
      <c r="F11" s="122">
        <f>'[7]Loss Expenses Paid QTD-15'!K11</f>
        <v>0</v>
      </c>
      <c r="G11" s="122">
        <f>SUM(B11:F11)</f>
        <v>125</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0" t="s">
        <v>448</v>
      </c>
      <c r="B12" s="332">
        <f aca="true" t="shared" si="0" ref="B12:G12">SUM(B9:B11)</f>
        <v>64836.77</v>
      </c>
      <c r="C12" s="332">
        <f>SUM(C9:C11)+1</f>
        <v>195562.22</v>
      </c>
      <c r="D12" s="332">
        <f t="shared" si="0"/>
        <v>17603.14</v>
      </c>
      <c r="E12" s="332">
        <f t="shared" si="0"/>
        <v>11555.32</v>
      </c>
      <c r="F12" s="332">
        <f t="shared" si="0"/>
        <v>4199.52</v>
      </c>
      <c r="G12" s="129">
        <f t="shared" si="0"/>
        <v>293756.97000000003</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1" t="s">
        <v>15</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445</v>
      </c>
      <c r="B15" s="126">
        <f>'Loss Expenses YTD-12'!B15</f>
        <v>70565.91</v>
      </c>
      <c r="C15" s="126">
        <f>'Loss Expenses YTD-12'!C15</f>
        <v>167746.21</v>
      </c>
      <c r="D15" s="126">
        <f>'Loss Expenses YTD-12'!D15</f>
        <v>35565.57</v>
      </c>
      <c r="E15" s="122">
        <f>'Loss Expenses YTD-12'!E15</f>
        <v>18590.85</v>
      </c>
      <c r="F15" s="122">
        <f>'Loss Expenses YTD-12'!F15</f>
        <v>13229.48</v>
      </c>
      <c r="G15" s="122">
        <f>SUM(B15:F15)</f>
        <v>305698.01999999996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446</v>
      </c>
      <c r="B16" s="126">
        <f>'Loss Expenses YTD-12'!B16</f>
        <v>9131.54</v>
      </c>
      <c r="C16" s="126">
        <f>'Loss Expenses YTD-12'!C16</f>
        <v>11543.769999999999</v>
      </c>
      <c r="D16" s="126">
        <f>'Loss Expenses YTD-12'!D16</f>
        <v>10876.210000000001</v>
      </c>
      <c r="E16" s="122">
        <f>'Loss Expenses YTD-12'!E16</f>
        <v>0</v>
      </c>
      <c r="F16" s="122">
        <f>'Loss Expenses YTD-12'!F16</f>
        <v>0</v>
      </c>
      <c r="G16" s="122">
        <f>SUM(B16:F16)</f>
        <v>31551.519999999997</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447</v>
      </c>
      <c r="B17" s="122">
        <f>'Loss Expenses YTD-12'!B17</f>
        <v>0</v>
      </c>
      <c r="C17" s="122">
        <f>'Loss Expenses YTD-12'!C17</f>
        <v>0</v>
      </c>
      <c r="D17" s="122">
        <f>'Loss Expenses YTD-12'!D17</f>
        <v>0</v>
      </c>
      <c r="E17" s="122">
        <f>'Loss Expenses YTD-12'!E17</f>
        <v>0</v>
      </c>
      <c r="F17" s="122">
        <f>'Loss Expenses YTD-12'!F17</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0" t="s">
        <v>448</v>
      </c>
      <c r="B18" s="138">
        <f>SUM(B15:B17)+1</f>
        <v>79698.45000000001</v>
      </c>
      <c r="C18" s="138">
        <f>SUM(C15:C17)</f>
        <v>179289.97999999998</v>
      </c>
      <c r="D18" s="138">
        <f>SUM(D15:D17)</f>
        <v>46441.78</v>
      </c>
      <c r="E18" s="332">
        <f>SUM(E15:E17)</f>
        <v>18590.85</v>
      </c>
      <c r="F18" s="332">
        <f>SUM(F15:F17)</f>
        <v>13229.48</v>
      </c>
      <c r="G18" s="129">
        <f>SUM(G15:G17)</f>
        <v>337249.54</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2"/>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1" t="s">
        <v>27</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445</v>
      </c>
      <c r="B21" s="126">
        <v>40987.89</v>
      </c>
      <c r="C21" s="126">
        <v>258728.35</v>
      </c>
      <c r="D21" s="910">
        <v>56771.43</v>
      </c>
      <c r="E21" s="122">
        <v>26831.32</v>
      </c>
      <c r="F21" s="122">
        <v>11063.72</v>
      </c>
      <c r="G21" s="122">
        <f>SUM(B21:F21)-1</f>
        <v>394381.70999999996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468</v>
      </c>
      <c r="B22" s="126">
        <v>703.81</v>
      </c>
      <c r="C22" s="126">
        <v>29598.25</v>
      </c>
      <c r="D22" s="126">
        <v>11387.77</v>
      </c>
      <c r="E22" s="122">
        <v>0</v>
      </c>
      <c r="F22" s="122">
        <v>2032.6</v>
      </c>
      <c r="G22" s="122">
        <f>SUM(B22:F22)+1</f>
        <v>43723.43</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447</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0" t="s">
        <v>448</v>
      </c>
      <c r="B24" s="138">
        <f aca="true" t="shared" si="1" ref="B24:G24">SUM(B21:B23)</f>
        <v>41691.7</v>
      </c>
      <c r="C24" s="138">
        <f>SUM(C21:C23)-1</f>
        <v>288325.6</v>
      </c>
      <c r="D24" s="138">
        <f>SUM(D21:D23)</f>
        <v>68159.2</v>
      </c>
      <c r="E24" s="332">
        <f t="shared" si="1"/>
        <v>26831.32</v>
      </c>
      <c r="F24" s="332">
        <f>SUM(F21:F23)+1</f>
        <v>13097.32</v>
      </c>
      <c r="G24" s="129">
        <f t="shared" si="1"/>
        <v>438105.13999999996</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3"/>
    </row>
    <row r="26" spans="1:38" s="23" customFormat="1" ht="30" customHeight="1">
      <c r="A26" s="871" t="s">
        <v>33</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445</v>
      </c>
      <c r="B27" s="122">
        <f aca="true" t="shared" si="2" ref="B27:F29">B9+B15-B21</f>
        <v>81066.71</v>
      </c>
      <c r="C27" s="908">
        <f t="shared" si="2"/>
        <v>50736.51999999999</v>
      </c>
      <c r="D27" s="908">
        <f>D9+D15-D21+1</f>
        <v>-8118.8499999999985</v>
      </c>
      <c r="E27" s="122">
        <f>E9+E15-E21</f>
        <v>3314.8499999999985</v>
      </c>
      <c r="F27" s="122">
        <f>F9+F15-F21-1</f>
        <v>5284.780000000001</v>
      </c>
      <c r="G27" s="122">
        <f>SUM(B27:F27)+1</f>
        <v>132285.00999999998</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446</v>
      </c>
      <c r="B28" s="122">
        <f>B10+B16-B22</f>
        <v>21650.81</v>
      </c>
      <c r="C28" s="908">
        <f>C10+C16-C22+1</f>
        <v>35789.079999999994</v>
      </c>
      <c r="D28" s="908">
        <f>D10+D16-D22-1</f>
        <v>4004.5699999999997</v>
      </c>
      <c r="E28" s="122">
        <f t="shared" si="2"/>
        <v>0</v>
      </c>
      <c r="F28" s="908">
        <f t="shared" si="2"/>
        <v>-953.0999999999999</v>
      </c>
      <c r="G28" s="908">
        <f>SUM(B28:F28)+1</f>
        <v>60492.36</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447</v>
      </c>
      <c r="B29" s="122">
        <f t="shared" si="2"/>
        <v>125</v>
      </c>
      <c r="C29" s="122">
        <f>C11+C17-C23</f>
        <v>0</v>
      </c>
      <c r="D29" s="122">
        <f t="shared" si="2"/>
        <v>0</v>
      </c>
      <c r="E29" s="122">
        <f t="shared" si="2"/>
        <v>0</v>
      </c>
      <c r="F29" s="122">
        <f t="shared" si="2"/>
        <v>0</v>
      </c>
      <c r="G29" s="122">
        <f>SUM(B29:F29)</f>
        <v>125</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448</v>
      </c>
      <c r="B30" s="343">
        <f aca="true" t="shared" si="3" ref="B30:G30">SUM(B27:B29)</f>
        <v>102842.52</v>
      </c>
      <c r="C30" s="909">
        <f t="shared" si="3"/>
        <v>86525.59999999998</v>
      </c>
      <c r="D30" s="909">
        <f t="shared" si="3"/>
        <v>-4114.279999999999</v>
      </c>
      <c r="E30" s="343">
        <f t="shared" si="3"/>
        <v>3314.8499999999985</v>
      </c>
      <c r="F30" s="909">
        <f t="shared" si="3"/>
        <v>4331.68</v>
      </c>
      <c r="G30" s="343">
        <f t="shared" si="3"/>
        <v>192902.37</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4"/>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320</v>
      </c>
      <c r="B1" s="307"/>
      <c r="C1" s="307"/>
      <c r="D1" s="307"/>
      <c r="E1" s="335"/>
      <c r="F1" s="335"/>
      <c r="G1" s="336"/>
      <c r="H1" s="260"/>
    </row>
    <row r="2" spans="1:7" ht="15" customHeight="1">
      <c r="A2" s="772"/>
      <c r="B2" s="326"/>
      <c r="C2" s="326"/>
      <c r="D2" s="326"/>
      <c r="E2" s="326"/>
      <c r="F2" s="326"/>
      <c r="G2" s="337"/>
    </row>
    <row r="3" spans="1:8" s="45" customFormat="1" ht="15" customHeight="1">
      <c r="A3" s="634" t="s">
        <v>465</v>
      </c>
      <c r="B3" s="864"/>
      <c r="C3" s="864"/>
      <c r="D3" s="864"/>
      <c r="E3" s="865"/>
      <c r="F3" s="865"/>
      <c r="G3" s="866"/>
      <c r="H3" s="770"/>
    </row>
    <row r="4" spans="1:8" s="45" customFormat="1" ht="15" customHeight="1">
      <c r="A4" s="634" t="s">
        <v>466</v>
      </c>
      <c r="B4" s="864"/>
      <c r="C4" s="864"/>
      <c r="D4" s="864"/>
      <c r="E4" s="865"/>
      <c r="F4" s="865"/>
      <c r="G4" s="866"/>
      <c r="H4" s="770"/>
    </row>
    <row r="5" spans="1:8" s="45" customFormat="1" ht="15" customHeight="1">
      <c r="A5" s="378" t="s">
        <v>7</v>
      </c>
      <c r="B5" s="864"/>
      <c r="C5" s="864"/>
      <c r="D5" s="864"/>
      <c r="E5" s="865"/>
      <c r="F5" s="865"/>
      <c r="G5" s="866"/>
      <c r="H5" s="770"/>
    </row>
    <row r="6" spans="1:7" ht="15" customHeight="1">
      <c r="A6" s="17"/>
      <c r="E6" s="337"/>
      <c r="F6" s="337"/>
      <c r="G6" s="337"/>
    </row>
    <row r="7" spans="1:7" ht="30" customHeight="1">
      <c r="A7" s="47"/>
      <c r="B7" s="875" t="s">
        <v>16</v>
      </c>
      <c r="C7" s="875" t="s">
        <v>67</v>
      </c>
      <c r="D7" s="875" t="s">
        <v>62</v>
      </c>
      <c r="E7" s="875" t="s">
        <v>70</v>
      </c>
      <c r="F7" s="876" t="s">
        <v>17</v>
      </c>
      <c r="G7" s="877" t="s">
        <v>321</v>
      </c>
    </row>
    <row r="8" spans="1:7" ht="30" customHeight="1">
      <c r="A8" s="867" t="s">
        <v>61</v>
      </c>
      <c r="B8" s="311"/>
      <c r="C8" s="311"/>
      <c r="D8" s="311"/>
      <c r="G8" s="868"/>
    </row>
    <row r="9" spans="1:38" ht="15" customHeight="1">
      <c r="A9" s="18" t="s">
        <v>445</v>
      </c>
      <c r="B9" s="869">
        <f>'[7]Loss Expenses Paid YTD-16'!K33</f>
        <v>54227.01</v>
      </c>
      <c r="C9" s="869">
        <f>'[7]Loss Expenses Paid YTD-16'!K27</f>
        <v>318551.45</v>
      </c>
      <c r="D9" s="869">
        <f>'[7]Loss Expenses Paid YTD-16'!K21</f>
        <v>60361.270000000004</v>
      </c>
      <c r="E9" s="869">
        <f>'[7]Loss Expenses Paid YTD-16'!K15</f>
        <v>15254.059999999998</v>
      </c>
      <c r="F9" s="869">
        <f>'[7]Loss Expenses Paid YTD-16'!K9</f>
        <v>18468.629999999997</v>
      </c>
      <c r="G9" s="869">
        <f>SUM(B9:F9)</f>
        <v>466862.42000000004</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446</v>
      </c>
      <c r="B10" s="122">
        <f>'[7]Loss Expenses Paid YTD-16'!K34</f>
        <v>14192.8</v>
      </c>
      <c r="C10" s="122">
        <f>'[7]Loss Expenses Paid YTD-16'!K28</f>
        <v>102643.64000000001</v>
      </c>
      <c r="D10" s="122">
        <f>'[7]Loss Expenses Paid YTD-16'!K22</f>
        <v>11159.38</v>
      </c>
      <c r="E10" s="122">
        <f>'[7]Loss Expenses Paid YTD-16'!K16</f>
        <v>0</v>
      </c>
      <c r="F10" s="122">
        <f>'[7]Loss Expenses Paid YTD-16'!K10</f>
        <v>1079.5</v>
      </c>
      <c r="G10" s="122">
        <f>SUM(B10:F10)+1</f>
        <v>129076.32000000002</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447</v>
      </c>
      <c r="B11" s="122">
        <f>'[7]Loss Expenses Paid YTD-16'!K35</f>
        <v>125</v>
      </c>
      <c r="C11" s="122">
        <f>'[7]Loss Expenses Paid YTD-16'!K29</f>
        <v>0</v>
      </c>
      <c r="D11" s="122">
        <f>'[7]Loss Expenses Paid YTD-16'!K23</f>
        <v>0</v>
      </c>
      <c r="E11" s="122">
        <f>'[7]Loss Expenses Paid YTD-16'!K17</f>
        <v>0</v>
      </c>
      <c r="F11" s="122">
        <f>'[7]Loss Expenses Paid YTD-16'!K11</f>
        <v>0</v>
      </c>
      <c r="G11" s="122">
        <f>SUM(B11:F11)</f>
        <v>125</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0" t="s">
        <v>448</v>
      </c>
      <c r="B12" s="332">
        <f>SUM(B9:B11)</f>
        <v>68544.81</v>
      </c>
      <c r="C12" s="332">
        <f>SUM(C9:C11)</f>
        <v>421195.09</v>
      </c>
      <c r="D12" s="332">
        <f>SUM(D9:D11)-1</f>
        <v>71519.65000000001</v>
      </c>
      <c r="E12" s="332">
        <f>SUM(E9:E11)</f>
        <v>15254.059999999998</v>
      </c>
      <c r="F12" s="332">
        <f>SUM(F9:F11)+1</f>
        <v>19549.129999999997</v>
      </c>
      <c r="G12" s="129">
        <f>SUM(G9:G11)-1</f>
        <v>596062.7400000001</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1" t="s">
        <v>15</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445</v>
      </c>
      <c r="B15" s="126">
        <f>'[7]Unpaid Loss Expense Reserves-14'!B22</f>
        <v>70565.91</v>
      </c>
      <c r="C15" s="126">
        <f>'[7]Unpaid Loss Expense Reserves-14'!C22</f>
        <v>167746.21</v>
      </c>
      <c r="D15" s="126">
        <f>'[7]Unpaid Loss Expense Reserves-14'!D22</f>
        <v>35565.57</v>
      </c>
      <c r="E15" s="122">
        <f>'[7]Unpaid Loss Expense Reserves-14'!E22</f>
        <v>18590.85</v>
      </c>
      <c r="F15" s="122">
        <f>'[7]Unpaid Loss Expense Reserves-14'!F22</f>
        <v>13229.48</v>
      </c>
      <c r="G15" s="122">
        <f>SUM(B15:F15)</f>
        <v>305698.01999999996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446</v>
      </c>
      <c r="B16" s="126">
        <f>'[7]Unpaid Loss Expense Reserves-14'!B23</f>
        <v>9131.54</v>
      </c>
      <c r="C16" s="126">
        <f>'[7]Unpaid Loss Expense Reserves-14'!C23</f>
        <v>11543.769999999999</v>
      </c>
      <c r="D16" s="126">
        <f>'[7]Unpaid Loss Expense Reserves-14'!D23</f>
        <v>10876.210000000001</v>
      </c>
      <c r="E16" s="122">
        <f>'[7]Unpaid Loss Expense Reserves-14'!E23</f>
        <v>0</v>
      </c>
      <c r="F16" s="122">
        <f>'[7]Unpaid Loss Expense Reserves-14'!F23</f>
        <v>0</v>
      </c>
      <c r="G16" s="122">
        <f>SUM(B16:F16)</f>
        <v>31551.519999999997</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447</v>
      </c>
      <c r="B17" s="122">
        <f>'[7]Unpaid Loss Expense Reserves-14'!B24</f>
        <v>0</v>
      </c>
      <c r="C17" s="122">
        <f>'[7]Unpaid Loss Expense Reserves-14'!C24</f>
        <v>0</v>
      </c>
      <c r="D17" s="122">
        <f>'[7]Unpaid Loss Expense Reserves-14'!D24</f>
        <v>0</v>
      </c>
      <c r="E17" s="122">
        <f>'[7]Unpaid Loss Expense Reserves-14'!E24</f>
        <v>0</v>
      </c>
      <c r="F17" s="122">
        <f>'[7]Unpaid Loss Expense Reserves-14'!F24</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0" t="s">
        <v>448</v>
      </c>
      <c r="B18" s="138">
        <f>SUM(B15:B17)+1</f>
        <v>79698.45000000001</v>
      </c>
      <c r="C18" s="138">
        <f>SUM(C15:C17)</f>
        <v>179289.97999999998</v>
      </c>
      <c r="D18" s="138">
        <f>SUM(D15:D17)</f>
        <v>46441.78</v>
      </c>
      <c r="E18" s="332">
        <f>SUM(E15:E17)</f>
        <v>18590.85</v>
      </c>
      <c r="F18" s="332">
        <f>SUM(F15:F17)</f>
        <v>13229.48</v>
      </c>
      <c r="G18" s="129">
        <f>SUM(G15:G17)</f>
        <v>337249.54</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2"/>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1" t="s">
        <v>11</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445</v>
      </c>
      <c r="B21" s="126">
        <v>0</v>
      </c>
      <c r="C21" s="126">
        <v>254373</v>
      </c>
      <c r="D21" s="126">
        <v>115331</v>
      </c>
      <c r="E21" s="122">
        <v>30075</v>
      </c>
      <c r="F21" s="122">
        <v>13067</v>
      </c>
      <c r="G21" s="122">
        <f>SUM(B21:F21)</f>
        <v>412846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468</v>
      </c>
      <c r="B22" s="126">
        <v>0</v>
      </c>
      <c r="C22" s="126">
        <v>7273</v>
      </c>
      <c r="D22" s="126">
        <v>10825</v>
      </c>
      <c r="E22" s="122">
        <v>0</v>
      </c>
      <c r="F22" s="122">
        <v>3043</v>
      </c>
      <c r="G22" s="122">
        <f>SUM(B22:F22)</f>
        <v>21141</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447</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0" t="s">
        <v>448</v>
      </c>
      <c r="B24" s="138">
        <f aca="true" t="shared" si="0" ref="B24:G24">SUM(B21:B23)</f>
        <v>0</v>
      </c>
      <c r="C24" s="138">
        <f t="shared" si="0"/>
        <v>261646</v>
      </c>
      <c r="D24" s="138">
        <f t="shared" si="0"/>
        <v>126156</v>
      </c>
      <c r="E24" s="332">
        <f t="shared" si="0"/>
        <v>30075</v>
      </c>
      <c r="F24" s="332">
        <f t="shared" si="0"/>
        <v>16110</v>
      </c>
      <c r="G24" s="129">
        <f t="shared" si="0"/>
        <v>433987</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3"/>
    </row>
    <row r="26" spans="1:38" s="23" customFormat="1" ht="30" customHeight="1">
      <c r="A26" s="871" t="s">
        <v>33</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445</v>
      </c>
      <c r="B27" s="122">
        <f aca="true" t="shared" si="1" ref="B27:F29">B9+B15-B21</f>
        <v>124792.92000000001</v>
      </c>
      <c r="C27" s="122">
        <f>C9+C15-C21-1</f>
        <v>231923.66000000003</v>
      </c>
      <c r="D27" s="908">
        <f>D9+D15-D21</f>
        <v>-19404.160000000003</v>
      </c>
      <c r="E27" s="908">
        <f>E9+E15-E21</f>
        <v>3769.909999999996</v>
      </c>
      <c r="F27" s="908">
        <f t="shared" si="1"/>
        <v>18631.109999999997</v>
      </c>
      <c r="G27" s="122">
        <f>SUM(B27:F27)+1</f>
        <v>359714.44</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446</v>
      </c>
      <c r="B28" s="122">
        <f>B10+B16-B22+1</f>
        <v>23325.34</v>
      </c>
      <c r="C28" s="122">
        <f>C10+C16-C22+1</f>
        <v>106915.41000000002</v>
      </c>
      <c r="D28" s="122">
        <f>D10+D16-D22-1</f>
        <v>11209.59</v>
      </c>
      <c r="E28" s="122">
        <f t="shared" si="1"/>
        <v>0</v>
      </c>
      <c r="F28" s="908">
        <f>F10+F16-F22+1</f>
        <v>-1962.5</v>
      </c>
      <c r="G28" s="122">
        <f>SUM(B28:F28)-1</f>
        <v>139486.84000000003</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447</v>
      </c>
      <c r="B29" s="122">
        <f t="shared" si="1"/>
        <v>125</v>
      </c>
      <c r="C29" s="122">
        <f>C11+C17-C23</f>
        <v>0</v>
      </c>
      <c r="D29" s="122">
        <f t="shared" si="1"/>
        <v>0</v>
      </c>
      <c r="E29" s="122">
        <f t="shared" si="1"/>
        <v>0</v>
      </c>
      <c r="F29" s="122">
        <f t="shared" si="1"/>
        <v>0</v>
      </c>
      <c r="G29" s="122">
        <f>SUM(B29:F29)</f>
        <v>125</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448</v>
      </c>
      <c r="B30" s="343">
        <f aca="true" t="shared" si="2" ref="B30:G30">SUM(B27:B29)</f>
        <v>148243.26</v>
      </c>
      <c r="C30" s="343">
        <f t="shared" si="2"/>
        <v>338839.07000000007</v>
      </c>
      <c r="D30" s="909">
        <f>SUM(D27:D29)+1</f>
        <v>-8193.570000000003</v>
      </c>
      <c r="E30" s="343">
        <f t="shared" si="2"/>
        <v>3769.909999999996</v>
      </c>
      <c r="F30" s="343">
        <f>SUM(F27:F29)-1</f>
        <v>16667.609999999997</v>
      </c>
      <c r="G30" s="343">
        <f t="shared" si="2"/>
        <v>499326.28</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4"/>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320</v>
      </c>
      <c r="B1" s="307"/>
      <c r="C1" s="307"/>
      <c r="D1" s="324"/>
      <c r="E1" s="324"/>
      <c r="F1" s="324"/>
      <c r="G1" s="325"/>
    </row>
    <row r="2" spans="1:7" ht="19.5" customHeight="1">
      <c r="A2" s="19"/>
      <c r="B2" s="308"/>
      <c r="C2" s="308"/>
      <c r="D2" s="326"/>
      <c r="E2" s="326"/>
      <c r="F2" s="308"/>
      <c r="G2" s="308"/>
    </row>
    <row r="3" spans="1:7" s="103" customFormat="1" ht="18.75">
      <c r="A3" s="102" t="s">
        <v>454</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112</v>
      </c>
      <c r="C6" s="310" t="s">
        <v>116</v>
      </c>
      <c r="D6" s="322" t="s">
        <v>212</v>
      </c>
      <c r="E6" s="322" t="s">
        <v>282</v>
      </c>
      <c r="F6" s="322" t="s">
        <v>167</v>
      </c>
      <c r="G6" s="323" t="s">
        <v>321</v>
      </c>
    </row>
    <row r="7" spans="1:7" ht="15.75">
      <c r="A7" s="105" t="s">
        <v>455</v>
      </c>
      <c r="D7" s="330"/>
      <c r="E7" s="330"/>
      <c r="F7" s="330"/>
      <c r="G7" s="330"/>
    </row>
    <row r="8" spans="1:8" ht="15">
      <c r="A8" s="105" t="s">
        <v>456</v>
      </c>
      <c r="B8" s="311"/>
      <c r="C8" s="311"/>
      <c r="D8" s="330"/>
      <c r="E8" s="330"/>
      <c r="F8" s="330"/>
      <c r="G8" s="330"/>
      <c r="H8" s="114"/>
    </row>
    <row r="9" spans="1:8" ht="14.25">
      <c r="A9" s="106" t="s">
        <v>457</v>
      </c>
      <c r="B9" s="122">
        <f>+'[5]TB03-31-04(Final)'!F371</f>
        <v>0</v>
      </c>
      <c r="C9" s="122">
        <f>+'[5]TB03-31-04(Final)'!F370</f>
        <v>0</v>
      </c>
      <c r="D9" s="122">
        <f>+'[5]TB03-31-04(Final)'!F368</f>
        <v>1626410.46</v>
      </c>
      <c r="E9" s="122">
        <f>+'[5]TB03-31-04(Final)'!F367</f>
        <v>1371608.06</v>
      </c>
      <c r="F9" s="122">
        <f>SUM('[5]TB03-31-04(Final)'!F363:F366)+'[5]TB03-31-04(Final)'!G396</f>
        <v>60650</v>
      </c>
      <c r="G9" s="122">
        <f>SUM(B9:F9)</f>
        <v>3058668.52</v>
      </c>
      <c r="H9" s="25" t="s">
        <v>303</v>
      </c>
    </row>
    <row r="10" spans="1:8" s="23" customFormat="1" ht="14.25">
      <c r="A10" s="107" t="s">
        <v>458</v>
      </c>
      <c r="B10" s="315" t="e">
        <f>+'[5]TB03-31-04(Final)'!F379</f>
        <v>#REF!</v>
      </c>
      <c r="C10" s="315" t="e">
        <f>+'[5]TB03-31-04(Final)'!D378+'[5]TB03-31-04(Final)'!#REF!</f>
        <v>#REF!</v>
      </c>
      <c r="D10" s="315" t="e">
        <f>+'[5]TB03-31-04(Final)'!F376+'[5]TB03-31-04(Final)'!F405</f>
        <v>#REF!</v>
      </c>
      <c r="E10" s="315">
        <f>+'[5]TB03-31-04(Final)'!F375</f>
        <v>69982.57</v>
      </c>
      <c r="F10" s="315" t="e">
        <f>SUM('[5]TB03-31-04(Final)'!F372:F374)+'[5]TB03-31-04(Final)'!G400</f>
        <v>#REF!</v>
      </c>
      <c r="G10" s="331" t="e">
        <f>SUM(B10:F10)</f>
        <v>#REF!</v>
      </c>
      <c r="H10" s="25" t="s">
        <v>304</v>
      </c>
    </row>
    <row r="11" spans="1:8" s="23" customFormat="1" ht="14.25">
      <c r="A11" s="107" t="s">
        <v>459</v>
      </c>
      <c r="B11" s="315" t="e">
        <f>+'[5]TB03-31-04(Final)'!D386</f>
        <v>#REF!</v>
      </c>
      <c r="C11" s="315" t="e">
        <f>+'[5]TB03-31-04(Final)'!F385</f>
        <v>#REF!</v>
      </c>
      <c r="D11" s="315" t="e">
        <f>+'[5]TB03-31-04(Final)'!F384</f>
        <v>#REF!</v>
      </c>
      <c r="E11" s="315">
        <f>+'[5]TB03-31-04(Final)'!F382</f>
        <v>0</v>
      </c>
      <c r="F11" s="315">
        <f>+'[5]TB03-31-04(Final)'!F381</f>
        <v>0</v>
      </c>
      <c r="G11" s="331" t="e">
        <f>SUM(B11:F11)</f>
        <v>#REF!</v>
      </c>
      <c r="H11" s="25" t="s">
        <v>305</v>
      </c>
    </row>
    <row r="12" spans="1:8" s="23" customFormat="1" ht="15.75" thickBot="1">
      <c r="A12" s="108" t="s">
        <v>448</v>
      </c>
      <c r="B12" s="138" t="e">
        <f aca="true" t="shared" si="0" ref="B12:G12">SUM(B9:B11)</f>
        <v>#REF!</v>
      </c>
      <c r="C12" s="138" t="e">
        <f t="shared" si="0"/>
        <v>#REF!</v>
      </c>
      <c r="D12" s="332" t="e">
        <f t="shared" si="0"/>
        <v>#REF!</v>
      </c>
      <c r="E12" s="332">
        <f t="shared" si="0"/>
        <v>1441590.6300000001</v>
      </c>
      <c r="F12" s="332" t="e">
        <f t="shared" si="0"/>
        <v>#REF!</v>
      </c>
      <c r="G12" s="129" t="e">
        <f t="shared" si="0"/>
        <v>#REF!</v>
      </c>
      <c r="H12" s="23">
        <f>+'[5]TB03-31-04(Final)'!E407</f>
        <v>3783761.3799999994</v>
      </c>
    </row>
    <row r="13" spans="1:8" s="23" customFormat="1" ht="15" thickTop="1">
      <c r="A13" s="106"/>
      <c r="B13" s="126"/>
      <c r="C13" s="126"/>
      <c r="D13" s="331"/>
      <c r="E13" s="331"/>
      <c r="F13" s="331"/>
      <c r="G13" s="331"/>
      <c r="H13" s="23" t="e">
        <f>+G12-H12</f>
        <v>#REF!</v>
      </c>
    </row>
    <row r="14" spans="1:7" s="23" customFormat="1" ht="15">
      <c r="A14" s="105" t="s">
        <v>221</v>
      </c>
      <c r="B14" s="126"/>
      <c r="C14" s="126"/>
      <c r="D14" s="331"/>
      <c r="E14" s="331"/>
      <c r="F14" s="331"/>
      <c r="G14" s="331"/>
    </row>
    <row r="15" spans="1:7" s="23" customFormat="1" ht="14.25">
      <c r="A15" s="106" t="s">
        <v>460</v>
      </c>
      <c r="B15" s="331">
        <f>+'[5](1)IBNR Cal13'!D21</f>
        <v>388216.64</v>
      </c>
      <c r="C15" s="331">
        <f>+'[5](1)IBNR Cal13'!E21</f>
        <v>388216.64</v>
      </c>
      <c r="D15" s="331">
        <f>+'[5](1)IBNR Cal13'!E15</f>
        <v>86015</v>
      </c>
      <c r="E15" s="331">
        <f>+'[5](1)IBNR Cal13'!E9</f>
        <v>93733</v>
      </c>
      <c r="F15" s="331" t="e">
        <f>+'[5](1)IBNR Cal13'!#REF!</f>
        <v>#REF!</v>
      </c>
      <c r="G15" s="331" t="e">
        <f>SUM(B15:F15)</f>
        <v>#REF!</v>
      </c>
    </row>
    <row r="16" spans="1:7" s="23" customFormat="1" ht="14.25">
      <c r="A16" s="106" t="s">
        <v>461</v>
      </c>
      <c r="B16" s="331">
        <f>+'[5](1)IBNR Cal13'!D22</f>
        <v>137574.07</v>
      </c>
      <c r="C16" s="331">
        <f>+'[5](1)IBNR Cal13'!E22</f>
        <v>137574.07</v>
      </c>
      <c r="D16" s="331">
        <f>+'[5](1)IBNR Cal13'!E16</f>
        <v>6011</v>
      </c>
      <c r="E16" s="331">
        <f>+'[5](1)IBNR Cal13'!E10</f>
        <v>8</v>
      </c>
      <c r="F16" s="331" t="e">
        <f>+'[5](1)IBNR Cal13'!#REF!</f>
        <v>#REF!</v>
      </c>
      <c r="G16" s="331" t="e">
        <f>SUM(B16:F16)</f>
        <v>#REF!</v>
      </c>
    </row>
    <row r="17" spans="1:7" s="23" customFormat="1" ht="14.25">
      <c r="A17" s="106" t="s">
        <v>462</v>
      </c>
      <c r="B17" s="331">
        <f>+'[5](1)IBNR Cal13'!D23</f>
        <v>0</v>
      </c>
      <c r="C17" s="331">
        <f>+'[5](1)IBNR Cal13'!E23</f>
        <v>0</v>
      </c>
      <c r="D17" s="331">
        <f>+'[5](1)IBNR Cal13'!E17</f>
        <v>0</v>
      </c>
      <c r="E17" s="331">
        <f>+'[5](1)IBNR Cal13'!E11</f>
        <v>0</v>
      </c>
      <c r="F17" s="331" t="e">
        <f>+'[5](1)IBNR Cal13'!#REF!</f>
        <v>#REF!</v>
      </c>
      <c r="G17" s="331" t="e">
        <f>SUM(B17:F17)</f>
        <v>#REF!</v>
      </c>
    </row>
    <row r="18" spans="1:8" s="23" customFormat="1" ht="15">
      <c r="A18" s="108" t="s">
        <v>448</v>
      </c>
      <c r="B18" s="138">
        <f>SUM(B15:B17)+1</f>
        <v>525791.71</v>
      </c>
      <c r="C18" s="138">
        <f>SUM(C15:C17)+1</f>
        <v>525791.71</v>
      </c>
      <c r="D18" s="332">
        <f>SUM(D15:D17)+1</f>
        <v>92027</v>
      </c>
      <c r="E18" s="332">
        <f>SUM(E15:E17)</f>
        <v>93741</v>
      </c>
      <c r="F18" s="332" t="e">
        <f>SUM(F15:F17)</f>
        <v>#REF!</v>
      </c>
      <c r="G18" s="128" t="e">
        <f>SUM(G15:G17)</f>
        <v>#REF!</v>
      </c>
      <c r="H18" s="23">
        <f>+'[5](1)IBNR Cal13'!E42</f>
        <v>7846756.2299999995</v>
      </c>
    </row>
    <row r="19" spans="1:7" s="23" customFormat="1" ht="14.25">
      <c r="A19" s="106"/>
      <c r="B19" s="126"/>
      <c r="C19" s="126"/>
      <c r="D19" s="331"/>
      <c r="E19" s="331"/>
      <c r="F19" s="331"/>
      <c r="G19" s="331"/>
    </row>
    <row r="20" spans="1:7" s="23" customFormat="1" ht="15">
      <c r="A20" s="105" t="s">
        <v>271</v>
      </c>
      <c r="B20" s="312" t="s">
        <v>319</v>
      </c>
      <c r="C20" s="312" t="s">
        <v>319</v>
      </c>
      <c r="D20" s="331"/>
      <c r="E20" s="331"/>
      <c r="F20" s="331"/>
      <c r="G20" s="331"/>
    </row>
    <row r="21" spans="1:7" s="23" customFormat="1" ht="14.25">
      <c r="A21" s="106" t="s">
        <v>460</v>
      </c>
      <c r="B21" s="126">
        <v>0</v>
      </c>
      <c r="C21" s="126">
        <v>3812745.98</v>
      </c>
      <c r="D21" s="331">
        <v>796383.95</v>
      </c>
      <c r="E21" s="331">
        <v>173012</v>
      </c>
      <c r="F21" s="331">
        <f>4+76330.03</f>
        <v>76334.03</v>
      </c>
      <c r="G21" s="331">
        <f>SUM(B21:F21)</f>
        <v>4858475.96</v>
      </c>
    </row>
    <row r="22" spans="1:7" s="23" customFormat="1" ht="14.25">
      <c r="A22" s="106" t="s">
        <v>461</v>
      </c>
      <c r="B22" s="126">
        <v>0</v>
      </c>
      <c r="C22" s="126">
        <v>582572.89</v>
      </c>
      <c r="D22" s="331">
        <v>136273.61</v>
      </c>
      <c r="E22" s="331">
        <v>-982</v>
      </c>
      <c r="F22" s="331">
        <f>365.82+1967</f>
        <v>2332.82</v>
      </c>
      <c r="G22" s="331">
        <f>SUM(B22:F22)</f>
        <v>720197.32</v>
      </c>
    </row>
    <row r="23" spans="1:7" s="23" customFormat="1" ht="14.25">
      <c r="A23" s="106" t="s">
        <v>462</v>
      </c>
      <c r="B23" s="126">
        <v>0</v>
      </c>
      <c r="C23" s="126">
        <v>8803.51</v>
      </c>
      <c r="D23" s="331">
        <v>0</v>
      </c>
      <c r="E23" s="331">
        <v>0</v>
      </c>
      <c r="F23" s="331">
        <v>0</v>
      </c>
      <c r="G23" s="331">
        <f>SUM(B23:F23)</f>
        <v>8803.51</v>
      </c>
    </row>
    <row r="24" spans="1:8" s="23" customFormat="1" ht="15.75" thickBot="1">
      <c r="A24" s="108" t="s">
        <v>448</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463</v>
      </c>
      <c r="B26" s="126"/>
      <c r="C26" s="126"/>
      <c r="D26" s="331"/>
      <c r="E26" s="331"/>
      <c r="F26" s="331"/>
      <c r="G26" s="331"/>
    </row>
    <row r="27" spans="1:9" s="23" customFormat="1" ht="14.25">
      <c r="A27" s="106" t="s">
        <v>460</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436</v>
      </c>
      <c r="I27" s="23" t="s">
        <v>439</v>
      </c>
    </row>
    <row r="28" spans="1:8" s="23" customFormat="1" ht="14.25">
      <c r="A28" s="106" t="s">
        <v>461</v>
      </c>
      <c r="B28" s="331" t="e">
        <f t="shared" si="1"/>
        <v>#REF!</v>
      </c>
      <c r="C28" s="331" t="e">
        <f t="shared" si="1"/>
        <v>#REF!</v>
      </c>
      <c r="D28" s="331" t="e">
        <f t="shared" si="2"/>
        <v>#REF!</v>
      </c>
      <c r="E28" s="331">
        <f t="shared" si="2"/>
        <v>70972.57</v>
      </c>
      <c r="F28" s="331" t="e">
        <f>F10+(F16-F22)</f>
        <v>#REF!</v>
      </c>
      <c r="G28" s="331" t="e">
        <f>SUM(B28:F28)</f>
        <v>#REF!</v>
      </c>
      <c r="H28" s="25" t="s">
        <v>437</v>
      </c>
    </row>
    <row r="29" spans="1:8" s="23" customFormat="1" ht="14.25">
      <c r="A29" s="106" t="s">
        <v>462</v>
      </c>
      <c r="B29" s="331" t="e">
        <f t="shared" si="1"/>
        <v>#REF!</v>
      </c>
      <c r="C29" s="331" t="e">
        <f t="shared" si="1"/>
        <v>#REF!</v>
      </c>
      <c r="D29" s="331" t="e">
        <f t="shared" si="2"/>
        <v>#REF!</v>
      </c>
      <c r="E29" s="331">
        <f t="shared" si="2"/>
        <v>0</v>
      </c>
      <c r="F29" s="331" t="e">
        <f>F11+(F17-F23)</f>
        <v>#REF!</v>
      </c>
      <c r="G29" s="331" t="e">
        <f>SUM(B29:F29)</f>
        <v>#REF!</v>
      </c>
      <c r="H29" s="25" t="s">
        <v>438</v>
      </c>
    </row>
    <row r="30" spans="1:9" ht="15.75" thickBot="1">
      <c r="A30" s="108" t="s">
        <v>448</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+'[5]TB03-31-04(Final)'!E462</f>
        <v>4105799.4900000007</v>
      </c>
    </row>
    <row r="32" spans="4:8" ht="15.75">
      <c r="D32" s="333"/>
      <c r="E32" s="333"/>
      <c r="F32" s="334"/>
      <c r="G32" s="334"/>
      <c r="H32" s="110"/>
    </row>
    <row r="33" spans="1:7" ht="18.75" customHeight="1">
      <c r="A33" s="105" t="s">
        <v>499</v>
      </c>
      <c r="D33" s="348"/>
      <c r="E33" s="348"/>
      <c r="F33" s="348"/>
      <c r="G33" s="349" t="s">
        <v>497</v>
      </c>
    </row>
    <row r="34" spans="1:7" ht="14.25">
      <c r="A34" s="106" t="s">
        <v>460</v>
      </c>
      <c r="B34" s="126">
        <f>468189.06-222137.25</f>
        <v>246051.81</v>
      </c>
      <c r="C34" s="126">
        <f>468189.06-222137.25</f>
        <v>246051.81</v>
      </c>
      <c r="D34" s="126">
        <f>448199.18-670918.35</f>
        <v>-222719.16999999998</v>
      </c>
      <c r="E34" s="350">
        <v>0</v>
      </c>
      <c r="F34" s="350">
        <v>0</v>
      </c>
      <c r="G34" s="122">
        <f>SUM(B34:F34)</f>
        <v>269384.45</v>
      </c>
    </row>
    <row r="35" spans="1:7" ht="14.25">
      <c r="A35" s="106" t="s">
        <v>461</v>
      </c>
      <c r="B35" s="126">
        <f>175542.97-81939.83</f>
        <v>93603.14</v>
      </c>
      <c r="C35" s="126">
        <f>175542.97-81939.83</f>
        <v>93603.14</v>
      </c>
      <c r="D35" s="126">
        <f>180110.78-278566.43</f>
        <v>-98455.65</v>
      </c>
      <c r="E35" s="350">
        <v>0</v>
      </c>
      <c r="F35" s="350">
        <v>0</v>
      </c>
      <c r="G35" s="122">
        <f>SUM(B35:F35)</f>
        <v>88750.63</v>
      </c>
    </row>
    <row r="36" spans="1:7" ht="14.25">
      <c r="A36" s="106" t="s">
        <v>462</v>
      </c>
      <c r="B36" s="126">
        <f>3215.61-1526.93</f>
        <v>1688.68</v>
      </c>
      <c r="C36" s="126">
        <f>3215.61-1526.93</f>
        <v>1688.68</v>
      </c>
      <c r="D36" s="126">
        <f>3443.46-5433.83</f>
        <v>-1990.37</v>
      </c>
      <c r="E36" s="350">
        <v>0</v>
      </c>
      <c r="F36" s="350">
        <v>0</v>
      </c>
      <c r="G36" s="122">
        <f>SUM(B36:F36)</f>
        <v>1386.9900000000002</v>
      </c>
    </row>
    <row r="37" spans="1:7" ht="15.75" thickBot="1">
      <c r="A37" s="108" t="s">
        <v>448</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339</v>
      </c>
      <c r="B39" s="322" t="s">
        <v>116</v>
      </c>
      <c r="C39" s="322" t="s">
        <v>116</v>
      </c>
      <c r="D39" s="322" t="s">
        <v>212</v>
      </c>
      <c r="E39" s="322" t="s">
        <v>282</v>
      </c>
      <c r="F39" s="322" t="s">
        <v>354</v>
      </c>
      <c r="G39" s="323" t="s">
        <v>321</v>
      </c>
      <c r="H39" s="251"/>
    </row>
    <row r="40" spans="2:8" ht="15.75">
      <c r="B40" s="313"/>
      <c r="C40" s="313"/>
      <c r="D40" s="318"/>
      <c r="E40" s="318"/>
      <c r="F40" s="320"/>
      <c r="G40" s="315"/>
      <c r="H40" s="252" t="e">
        <f>+'[5]TB03-31-04(Final)'!G455</f>
        <v>#REF!</v>
      </c>
    </row>
    <row r="41" spans="1:8" ht="12.75" customHeight="1">
      <c r="A41" s="106" t="s">
        <v>460</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461</v>
      </c>
      <c r="B42" s="314" t="e">
        <f>+B28-B35</f>
        <v>#REF!</v>
      </c>
      <c r="C42" s="314" t="e">
        <f t="shared" si="4"/>
        <v>#REF!</v>
      </c>
      <c r="D42" s="314" t="e">
        <f t="shared" si="4"/>
        <v>#REF!</v>
      </c>
      <c r="E42" s="314">
        <f t="shared" si="4"/>
        <v>70972.57</v>
      </c>
      <c r="F42" s="314" t="e">
        <f t="shared" si="4"/>
        <v>#REF!</v>
      </c>
      <c r="G42" s="315" t="e">
        <f>SUM(C42:F42)</f>
        <v>#REF!</v>
      </c>
      <c r="H42" s="96"/>
    </row>
    <row r="43" spans="1:8" ht="14.25">
      <c r="A43" s="106" t="s">
        <v>462</v>
      </c>
      <c r="B43" s="314" t="e">
        <f>+B29-B36</f>
        <v>#REF!</v>
      </c>
      <c r="C43" s="314" t="e">
        <f>+C29-C36</f>
        <v>#REF!</v>
      </c>
      <c r="D43" s="314" t="e">
        <f>+D29-D36</f>
        <v>#REF!</v>
      </c>
      <c r="E43" s="314">
        <f>+E29-E35</f>
        <v>0</v>
      </c>
      <c r="F43" s="314" t="e">
        <f>+F29-F35</f>
        <v>#REF!</v>
      </c>
      <c r="G43" s="315" t="e">
        <f>SUM(C43:F43)</f>
        <v>#REF!</v>
      </c>
      <c r="H43" s="96"/>
    </row>
    <row r="44" spans="1:8" ht="15.75" thickBot="1">
      <c r="A44" s="108" t="s">
        <v>448</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sheetProtection/>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zoomScalePageLayoutView="0"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48" t="s">
        <v>320</v>
      </c>
      <c r="C1" s="949"/>
      <c r="D1" s="949"/>
      <c r="E1" s="949"/>
      <c r="F1" s="949"/>
      <c r="G1" s="949"/>
      <c r="H1" s="949"/>
      <c r="I1" s="950"/>
    </row>
    <row r="2" spans="2:9" s="11" customFormat="1" ht="19.5">
      <c r="B2" s="957"/>
      <c r="C2" s="958"/>
      <c r="D2" s="958"/>
      <c r="E2" s="958"/>
      <c r="F2" s="958"/>
      <c r="G2" s="605"/>
      <c r="H2" s="606"/>
      <c r="I2" s="607"/>
    </row>
    <row r="3" spans="2:9" s="12" customFormat="1" ht="16.5">
      <c r="B3" s="951" t="s">
        <v>275</v>
      </c>
      <c r="C3" s="952"/>
      <c r="D3" s="952"/>
      <c r="E3" s="952"/>
      <c r="F3" s="952"/>
      <c r="G3" s="952"/>
      <c r="H3" s="952"/>
      <c r="I3" s="953"/>
    </row>
    <row r="4" spans="2:9" s="12" customFormat="1" ht="16.5">
      <c r="B4" s="954" t="s">
        <v>220</v>
      </c>
      <c r="C4" s="955"/>
      <c r="D4" s="955"/>
      <c r="E4" s="955"/>
      <c r="F4" s="955"/>
      <c r="G4" s="955"/>
      <c r="H4" s="955"/>
      <c r="I4" s="956"/>
    </row>
    <row r="5" spans="2:9" ht="15">
      <c r="B5" s="608"/>
      <c r="C5" s="633"/>
      <c r="D5" s="633"/>
      <c r="E5" s="946" t="s">
        <v>204</v>
      </c>
      <c r="F5" s="946"/>
      <c r="G5" s="632"/>
      <c r="H5" s="946" t="s">
        <v>205</v>
      </c>
      <c r="I5" s="947"/>
    </row>
    <row r="6" spans="2:9" ht="45">
      <c r="B6" s="608"/>
      <c r="C6" s="609" t="s">
        <v>276</v>
      </c>
      <c r="D6" s="609" t="s">
        <v>277</v>
      </c>
      <c r="E6" s="609" t="s">
        <v>278</v>
      </c>
      <c r="F6" s="609" t="s">
        <v>279</v>
      </c>
      <c r="G6" s="610"/>
      <c r="H6" s="609" t="s">
        <v>278</v>
      </c>
      <c r="I6" s="631" t="s">
        <v>279</v>
      </c>
    </row>
    <row r="7" spans="1:9" ht="15">
      <c r="A7" s="14" t="s">
        <v>493</v>
      </c>
      <c r="B7" s="611" t="s">
        <v>322</v>
      </c>
      <c r="C7" s="473"/>
      <c r="D7" s="473"/>
      <c r="E7" s="473"/>
      <c r="F7" s="473"/>
      <c r="G7" s="610"/>
      <c r="H7" s="596"/>
      <c r="I7" s="596"/>
    </row>
    <row r="8" spans="1:9" ht="14.25">
      <c r="A8" s="14">
        <v>5</v>
      </c>
      <c r="B8" s="612" t="s">
        <v>280</v>
      </c>
      <c r="C8" s="474"/>
      <c r="D8" s="474"/>
      <c r="E8" s="474"/>
      <c r="F8" s="474"/>
      <c r="G8" s="613"/>
      <c r="H8" s="597"/>
      <c r="I8" s="597"/>
    </row>
    <row r="9" spans="2:9" ht="14.25">
      <c r="B9" s="612" t="s">
        <v>281</v>
      </c>
      <c r="C9" s="474">
        <f>+'[5]TB03-31-04(Final)'!G16+'[5]TB03-31-04(Final)'!G23</f>
        <v>9850900.019999998</v>
      </c>
      <c r="D9" s="481">
        <v>0</v>
      </c>
      <c r="E9" s="481">
        <v>0</v>
      </c>
      <c r="F9" s="474">
        <f>SUM(C9:E9)</f>
        <v>9850900.019999998</v>
      </c>
      <c r="G9" s="613"/>
      <c r="H9" s="597"/>
      <c r="I9" s="598">
        <f>+'[2]Balance Sheet (pg 1)'!$E$9</f>
        <v>9779587.32</v>
      </c>
    </row>
    <row r="10" spans="1:9" ht="14.25">
      <c r="A10" s="14">
        <v>11</v>
      </c>
      <c r="B10" s="612" t="s">
        <v>211</v>
      </c>
      <c r="C10" s="482">
        <v>0</v>
      </c>
      <c r="D10" s="482">
        <f>+'[5]TB03-31-04(Final)'!G25</f>
        <v>10038.47</v>
      </c>
      <c r="E10" s="482">
        <v>0</v>
      </c>
      <c r="F10" s="482">
        <f>SUM(C10:E10)</f>
        <v>10038.47</v>
      </c>
      <c r="G10" s="613"/>
      <c r="H10" s="597"/>
      <c r="I10" s="599">
        <f>+'[2]Balance Sheet (pg 1)'!$E$10</f>
        <v>9035.63</v>
      </c>
    </row>
    <row r="11" spans="1:9" ht="14.25" customHeight="1">
      <c r="A11" s="14">
        <v>18</v>
      </c>
      <c r="B11" s="612" t="s">
        <v>324</v>
      </c>
      <c r="C11" s="482">
        <f>+'[5]TB03-31-04(Final)'!E1029</f>
        <v>172930.65000000002</v>
      </c>
      <c r="D11" s="482">
        <v>0</v>
      </c>
      <c r="E11" s="482">
        <f>C11</f>
        <v>172930.65000000002</v>
      </c>
      <c r="F11" s="482">
        <f>+C11-E11</f>
        <v>0</v>
      </c>
      <c r="G11" s="613"/>
      <c r="H11" s="599">
        <f>+'[2]Balance Sheet (pg 1)'!$D$11</f>
        <v>240717.92</v>
      </c>
      <c r="I11" s="600">
        <f>+'[2]Balance Sheet (pg 1)'!$E$11</f>
        <v>0</v>
      </c>
    </row>
    <row r="12" spans="1:9" ht="14.25" customHeight="1">
      <c r="A12" s="14">
        <v>17</v>
      </c>
      <c r="B12" s="612" t="s">
        <v>326</v>
      </c>
      <c r="C12" s="482">
        <f>+'[5]TB03-31-04(Final)'!G1033</f>
        <v>52339.42</v>
      </c>
      <c r="D12" s="482">
        <v>0</v>
      </c>
      <c r="E12" s="482">
        <v>0</v>
      </c>
      <c r="F12" s="482">
        <f>+C12-E12</f>
        <v>52339.42</v>
      </c>
      <c r="G12" s="613"/>
      <c r="H12" s="597"/>
      <c r="I12" s="600">
        <f>+'[2]Balance Sheet (pg 1)'!$E$12</f>
        <v>20473.260000000002</v>
      </c>
    </row>
    <row r="13" spans="1:9" ht="15.75" customHeight="1">
      <c r="A13" s="14">
        <v>18</v>
      </c>
      <c r="B13" s="612" t="s">
        <v>327</v>
      </c>
      <c r="C13" s="482">
        <f>+'[5]TB03-31-04(Final)'!E1038</f>
        <v>46955.560000000005</v>
      </c>
      <c r="D13" s="482">
        <v>0</v>
      </c>
      <c r="E13" s="482">
        <f>C13</f>
        <v>46955.560000000005</v>
      </c>
      <c r="F13" s="482">
        <f>+C13-E13</f>
        <v>0</v>
      </c>
      <c r="G13" s="613"/>
      <c r="H13" s="599">
        <f>+'[2]Balance Sheet (pg 1)'!$D$13</f>
        <v>58331.310000000005</v>
      </c>
      <c r="I13" s="600">
        <f>+'[2]Balance Sheet (pg 1)'!$E$13</f>
        <v>0</v>
      </c>
    </row>
    <row r="14" spans="1:9" ht="14.25">
      <c r="A14" s="14">
        <v>23</v>
      </c>
      <c r="B14" s="614" t="s">
        <v>222</v>
      </c>
      <c r="C14" s="482">
        <v>0</v>
      </c>
      <c r="D14" s="482">
        <v>0</v>
      </c>
      <c r="E14" s="482">
        <v>0</v>
      </c>
      <c r="F14" s="482">
        <f>+C14-E14</f>
        <v>0</v>
      </c>
      <c r="G14" s="613"/>
      <c r="H14" s="603">
        <f>+'[2]Balance Sheet (pg 1)'!$D$16</f>
        <v>335155</v>
      </c>
      <c r="I14" s="600">
        <f>+'[2]Balance Sheet (pg 1)'!$E$16</f>
        <v>0</v>
      </c>
    </row>
    <row r="15" spans="1:9" ht="14.25">
      <c r="A15" s="14">
        <v>23</v>
      </c>
      <c r="B15" s="615" t="s">
        <v>223</v>
      </c>
      <c r="C15" s="604">
        <v>0</v>
      </c>
      <c r="D15" s="604">
        <v>0</v>
      </c>
      <c r="E15" s="604">
        <f>C15</f>
        <v>0</v>
      </c>
      <c r="F15" s="604">
        <f>+C15-E15</f>
        <v>0</v>
      </c>
      <c r="G15" s="616"/>
      <c r="H15" s="603">
        <v>42501</v>
      </c>
      <c r="I15" s="602">
        <f>+'[2]Balance Sheet (pg 1)'!$E$14</f>
        <v>0</v>
      </c>
    </row>
    <row r="16" spans="1:9" ht="14.25">
      <c r="A16" s="14">
        <v>23</v>
      </c>
      <c r="B16" s="614" t="s">
        <v>224</v>
      </c>
      <c r="C16" s="483" t="e">
        <f>+'[5]TB03-31-04(Final)'!F1025</f>
        <v>#REF!</v>
      </c>
      <c r="D16" s="482">
        <v>0</v>
      </c>
      <c r="E16" s="482">
        <v>0</v>
      </c>
      <c r="F16" s="482" t="e">
        <f>+C16-D16-E16</f>
        <v>#REF!</v>
      </c>
      <c r="G16" s="613"/>
      <c r="H16" s="603">
        <f>+'[2]Balance Sheet (pg 1)'!$D$17</f>
        <v>4979.98</v>
      </c>
      <c r="I16" s="600">
        <f>+'[2]Balance Sheet (pg 1)'!$E$17</f>
        <v>0</v>
      </c>
    </row>
    <row r="17" spans="2:9" ht="15">
      <c r="B17" s="617" t="s">
        <v>328</v>
      </c>
      <c r="C17" s="475" t="e">
        <f>SUM(C9:C16)</f>
        <v>#REF!</v>
      </c>
      <c r="D17" s="475">
        <f>SUM(D9:D16)</f>
        <v>10038.47</v>
      </c>
      <c r="E17" s="475">
        <f>SUM(E9:E16)</f>
        <v>219886.21000000002</v>
      </c>
      <c r="F17" s="475" t="e">
        <f>SUM(F9:F16)</f>
        <v>#REF!</v>
      </c>
      <c r="G17" s="613"/>
      <c r="H17" s="475">
        <f>SUM(H7:H16)</f>
        <v>681685.21</v>
      </c>
      <c r="I17" s="475">
        <f>SUM(I9:I16)</f>
        <v>9809096.21</v>
      </c>
    </row>
    <row r="18" spans="2:9" ht="14.25">
      <c r="B18" s="618"/>
      <c r="C18" s="476"/>
      <c r="D18" s="476"/>
      <c r="E18" s="476"/>
      <c r="F18" s="476"/>
      <c r="G18" s="613"/>
      <c r="H18" s="619"/>
      <c r="I18" s="620"/>
    </row>
    <row r="19" spans="1:9" ht="15">
      <c r="A19" s="670" t="s">
        <v>492</v>
      </c>
      <c r="B19" s="621" t="s">
        <v>329</v>
      </c>
      <c r="C19" s="476"/>
      <c r="D19" s="476"/>
      <c r="E19" s="476"/>
      <c r="F19" s="476"/>
      <c r="G19" s="613"/>
      <c r="H19" s="22"/>
      <c r="I19" s="620"/>
    </row>
    <row r="20" spans="1:9" ht="15">
      <c r="A20" s="14">
        <v>1</v>
      </c>
      <c r="B20" s="622" t="s">
        <v>207</v>
      </c>
      <c r="C20" s="476"/>
      <c r="D20" s="477"/>
      <c r="E20" s="485">
        <f>-'[5]TB3-31-04 (Pre)'!F199</f>
        <v>47682</v>
      </c>
      <c r="F20" s="477"/>
      <c r="G20" s="613"/>
      <c r="H20" s="342">
        <f>+'[2]Balance Sheet (pg 1)'!$D$26</f>
        <v>91297.81</v>
      </c>
      <c r="I20" s="620"/>
    </row>
    <row r="21" spans="1:9" ht="15">
      <c r="A21" s="14">
        <v>3</v>
      </c>
      <c r="B21" s="622" t="s">
        <v>208</v>
      </c>
      <c r="C21" s="476"/>
      <c r="D21" s="477"/>
      <c r="E21" s="485">
        <f>-'[5]TB3-31-04 (Pre)'!F198</f>
        <v>6748.45</v>
      </c>
      <c r="F21" s="486"/>
      <c r="G21" s="613"/>
      <c r="H21" s="342"/>
      <c r="I21" s="620"/>
    </row>
    <row r="22" spans="1:9" ht="15">
      <c r="A22" s="14">
        <v>4</v>
      </c>
      <c r="B22" s="622" t="s">
        <v>209</v>
      </c>
      <c r="C22" s="476"/>
      <c r="D22" s="538"/>
      <c r="E22" s="485">
        <f>-'[5]TB03-31-04(Final)'!G272</f>
        <v>263743.5</v>
      </c>
      <c r="F22" s="476"/>
      <c r="G22" s="613"/>
      <c r="H22" s="342">
        <f>+'[2]Balance Sheet (pg 1)'!$D$25</f>
        <v>113994.26000000001</v>
      </c>
      <c r="I22" s="620"/>
    </row>
    <row r="23" spans="1:9" ht="15">
      <c r="A23" s="14">
        <v>5</v>
      </c>
      <c r="B23" s="622" t="s">
        <v>173</v>
      </c>
      <c r="C23" s="476"/>
      <c r="D23" s="538"/>
      <c r="E23" s="485">
        <f>-'[5]TB03-31-04(Final)'!G207</f>
        <v>20527.9</v>
      </c>
      <c r="F23" s="476"/>
      <c r="G23" s="613"/>
      <c r="H23" s="127">
        <f>-'[6]TB09-30-02(Final)'!$F$195</f>
        <v>37678.14</v>
      </c>
      <c r="I23" s="620"/>
    </row>
    <row r="24" spans="1:9" ht="15" customHeight="1">
      <c r="A24" s="14">
        <v>6</v>
      </c>
      <c r="B24" s="622" t="s">
        <v>210</v>
      </c>
      <c r="C24" s="476"/>
      <c r="D24" s="476"/>
      <c r="E24" s="485">
        <f>-'[5]TB03-31-04(Final)'!G199</f>
        <v>50113.97</v>
      </c>
      <c r="F24" s="476"/>
      <c r="G24" s="613"/>
      <c r="H24" s="342">
        <f>+'[2]Balance Sheet (pg 1)'!$D$37</f>
        <v>34740</v>
      </c>
      <c r="I24" s="620"/>
    </row>
    <row r="25" spans="1:9" ht="15">
      <c r="A25" s="14">
        <v>10</v>
      </c>
      <c r="B25" s="622" t="s">
        <v>87</v>
      </c>
      <c r="C25" s="476"/>
      <c r="D25" s="477"/>
      <c r="E25" s="485">
        <f>-'[5]TB03-31-04(Final)'!G267</f>
        <v>446013</v>
      </c>
      <c r="F25" s="476"/>
      <c r="G25" s="613"/>
      <c r="H25" s="342">
        <f>+'[2]Balance Sheet (pg 1)'!$D$24</f>
        <v>364716</v>
      </c>
      <c r="I25" s="620"/>
    </row>
    <row r="26" spans="1:9" ht="15">
      <c r="A26" s="14">
        <v>14</v>
      </c>
      <c r="B26" s="622" t="s">
        <v>225</v>
      </c>
      <c r="C26" s="476"/>
      <c r="D26" s="477"/>
      <c r="E26" s="485">
        <f>-'[5]TB03-31-04(Final)'!G256</f>
        <v>294617.31</v>
      </c>
      <c r="F26" s="476"/>
      <c r="G26" s="613"/>
      <c r="H26" s="342">
        <f>+'[2]Balance Sheet (pg 1)'!$D$23</f>
        <v>965550.22</v>
      </c>
      <c r="I26" s="620"/>
    </row>
    <row r="27" spans="1:9" ht="15">
      <c r="A27" s="14">
        <v>27</v>
      </c>
      <c r="B27" s="622" t="s">
        <v>35</v>
      </c>
      <c r="C27" s="476"/>
      <c r="D27" s="477"/>
      <c r="E27" s="485">
        <f>-'[5]TB03-31-04(Final)'!G258</f>
        <v>1290906</v>
      </c>
      <c r="F27" s="476"/>
      <c r="G27" s="613"/>
      <c r="H27" s="342">
        <f>+'[2]Balance Sheet (pg 1)'!$D$22</f>
        <v>618846.84</v>
      </c>
      <c r="I27" s="620"/>
    </row>
    <row r="28" spans="1:9" ht="15">
      <c r="A28" s="14">
        <v>27</v>
      </c>
      <c r="B28" s="622" t="s">
        <v>36</v>
      </c>
      <c r="C28" s="476"/>
      <c r="D28" s="477"/>
      <c r="E28" s="484">
        <f>-'[5]TB03-31-04(Final)'!G260</f>
        <v>505030.11</v>
      </c>
      <c r="F28" s="476"/>
      <c r="G28" s="613"/>
      <c r="H28" s="342">
        <v>0</v>
      </c>
      <c r="I28" s="620"/>
    </row>
    <row r="29" spans="2:9" ht="14.25">
      <c r="B29" s="622"/>
      <c r="C29" s="623"/>
      <c r="D29" s="476"/>
      <c r="E29" s="476"/>
      <c r="F29" s="485"/>
      <c r="G29" s="613"/>
      <c r="H29" s="342"/>
      <c r="I29" s="620"/>
    </row>
    <row r="30" spans="2:9" ht="15">
      <c r="B30" s="625" t="s">
        <v>226</v>
      </c>
      <c r="C30" s="476"/>
      <c r="D30" s="476"/>
      <c r="E30" s="476"/>
      <c r="F30" s="486">
        <f>SUM(E20:E28)</f>
        <v>2925382.2399999998</v>
      </c>
      <c r="G30" s="613"/>
      <c r="H30" s="342"/>
      <c r="I30" s="624">
        <f>SUM(H25:H28)</f>
        <v>1949113.06</v>
      </c>
    </row>
    <row r="31" spans="2:9" ht="14.25">
      <c r="B31" s="618"/>
      <c r="C31" s="476"/>
      <c r="D31" s="476"/>
      <c r="E31" s="476"/>
      <c r="F31" s="476"/>
      <c r="G31" s="613"/>
      <c r="H31" s="342"/>
      <c r="I31" s="620"/>
    </row>
    <row r="32" spans="1:9" ht="15">
      <c r="A32" s="14">
        <v>23</v>
      </c>
      <c r="B32" s="621" t="s">
        <v>332</v>
      </c>
      <c r="C32" s="476"/>
      <c r="D32" s="476"/>
      <c r="E32" s="476"/>
      <c r="F32" s="476"/>
      <c r="G32" s="613"/>
      <c r="H32" s="342"/>
      <c r="I32" s="620"/>
    </row>
    <row r="33" spans="1:9" ht="15">
      <c r="A33" s="14">
        <v>9</v>
      </c>
      <c r="B33" s="622" t="s">
        <v>333</v>
      </c>
      <c r="C33" s="476"/>
      <c r="D33" s="477"/>
      <c r="E33" s="485">
        <f>-'[5]TB03-31-04(Final)'!G65</f>
        <v>11049613</v>
      </c>
      <c r="F33" s="476"/>
      <c r="G33" s="613"/>
      <c r="H33" s="342">
        <f>+'[2]Balance Sheet (pg 1)'!$D$31</f>
        <v>8776992</v>
      </c>
      <c r="I33" s="620"/>
    </row>
    <row r="34" spans="1:9" ht="15">
      <c r="A34" s="14">
        <v>114</v>
      </c>
      <c r="B34" s="622" t="s">
        <v>227</v>
      </c>
      <c r="C34" s="476"/>
      <c r="D34" s="477"/>
      <c r="E34" s="485">
        <f>-'[5]TB03-31-04(Final)'!G104</f>
        <v>6198399.7700000005</v>
      </c>
      <c r="F34" s="476"/>
      <c r="G34" s="613"/>
      <c r="H34" s="342">
        <f>+'[2]Balance Sheet (pg 1)'!$D$32</f>
        <v>5068927.600000001</v>
      </c>
      <c r="I34" s="620"/>
    </row>
    <row r="35" spans="1:9" ht="15">
      <c r="A35" s="14">
        <v>114</v>
      </c>
      <c r="B35" s="622" t="s">
        <v>228</v>
      </c>
      <c r="C35" s="476"/>
      <c r="D35" s="477"/>
      <c r="E35" s="485">
        <f>-'[5]TB03-31-04(Final)'!G121</f>
        <v>1364184.0999999999</v>
      </c>
      <c r="F35" s="476"/>
      <c r="G35" s="613"/>
      <c r="H35" s="342">
        <f>+'[2]Balance Sheet (pg 1)'!$D$33</f>
        <v>1302472.2</v>
      </c>
      <c r="I35" s="620"/>
    </row>
    <row r="36" spans="1:9" ht="15">
      <c r="A36" s="14">
        <v>114</v>
      </c>
      <c r="B36" s="622" t="s">
        <v>229</v>
      </c>
      <c r="C36" s="476"/>
      <c r="D36" s="477"/>
      <c r="E36" s="485">
        <f>-'[5]TB03-31-04(Final)'!G159</f>
        <v>524501</v>
      </c>
      <c r="F36" s="476"/>
      <c r="G36" s="613"/>
      <c r="H36" s="342">
        <f>+'[2]Balance Sheet (pg 1)'!$D$34</f>
        <v>394965.17999999993</v>
      </c>
      <c r="I36" s="620"/>
    </row>
    <row r="37" spans="1:9" ht="15">
      <c r="A37" s="14">
        <v>114</v>
      </c>
      <c r="B37" s="622" t="s">
        <v>230</v>
      </c>
      <c r="C37" s="477"/>
      <c r="D37" s="477"/>
      <c r="E37" s="485">
        <f>-'[5]TB03-31-04(Final)'!G193</f>
        <v>226567.97999999998</v>
      </c>
      <c r="F37" s="476"/>
      <c r="G37" s="613"/>
      <c r="H37" s="342">
        <f>+'[2]Balance Sheet (pg 1)'!$D$35</f>
        <v>127127.4</v>
      </c>
      <c r="I37" s="620"/>
    </row>
    <row r="38" spans="1:9" ht="15">
      <c r="A38" s="14">
        <v>5</v>
      </c>
      <c r="B38" s="622" t="s">
        <v>491</v>
      </c>
      <c r="C38" s="476"/>
      <c r="D38" s="477"/>
      <c r="E38" s="512">
        <f>-'[5]TB03-31-04(Final)'!G217</f>
        <v>330321.9</v>
      </c>
      <c r="F38" s="476"/>
      <c r="G38" s="613"/>
      <c r="H38" s="601">
        <f>+'[2]Balance Sheet (pg 1)'!$D$36-H27</f>
        <v>-293990.12999999995</v>
      </c>
      <c r="I38" s="620"/>
    </row>
    <row r="39" spans="2:9" ht="15" customHeight="1">
      <c r="B39" s="622"/>
      <c r="C39" s="476"/>
      <c r="D39" s="476"/>
      <c r="E39" s="485"/>
      <c r="F39" s="476"/>
      <c r="G39" s="613"/>
      <c r="H39" s="342"/>
      <c r="I39" s="620"/>
    </row>
    <row r="40" spans="2:9" ht="15" customHeight="1">
      <c r="B40" s="625" t="s">
        <v>450</v>
      </c>
      <c r="C40" s="476"/>
      <c r="D40" s="476"/>
      <c r="E40" s="477"/>
      <c r="F40" s="486">
        <f>SUM(E33:E38)</f>
        <v>19693587.75</v>
      </c>
      <c r="G40" s="613"/>
      <c r="H40" s="342"/>
      <c r="I40" s="624">
        <f>SUM(H33:H39)</f>
        <v>15376494.25</v>
      </c>
    </row>
    <row r="41" spans="2:9" ht="13.5" customHeight="1">
      <c r="B41" s="625"/>
      <c r="C41" s="476"/>
      <c r="D41" s="476"/>
      <c r="E41" s="477"/>
      <c r="F41" s="479"/>
      <c r="G41" s="613"/>
      <c r="H41" s="342"/>
      <c r="I41" s="620"/>
    </row>
    <row r="42" spans="2:9" ht="13.5" customHeight="1">
      <c r="B42" s="617" t="s">
        <v>335</v>
      </c>
      <c r="C42" s="476"/>
      <c r="D42" s="476"/>
      <c r="E42" s="477"/>
      <c r="F42" s="487">
        <f>F40+F30</f>
        <v>22618969.99</v>
      </c>
      <c r="G42" s="613"/>
      <c r="H42" s="342"/>
      <c r="I42" s="626">
        <f>I40+I30</f>
        <v>17325607.31</v>
      </c>
    </row>
    <row r="43" spans="2:9" ht="15">
      <c r="B43" s="618"/>
      <c r="C43" s="476"/>
      <c r="D43" s="476"/>
      <c r="E43" s="477"/>
      <c r="F43" s="476"/>
      <c r="G43" s="613"/>
      <c r="H43" s="342"/>
      <c r="I43" s="620"/>
    </row>
    <row r="44" spans="2:9" ht="15">
      <c r="B44" s="621" t="s">
        <v>336</v>
      </c>
      <c r="C44" s="476"/>
      <c r="D44" s="476"/>
      <c r="E44" s="477"/>
      <c r="F44" s="476"/>
      <c r="G44" s="613"/>
      <c r="H44" s="342"/>
      <c r="I44" s="620"/>
    </row>
    <row r="45" spans="2:9" ht="15">
      <c r="B45" s="622" t="s">
        <v>206</v>
      </c>
      <c r="C45" s="476"/>
      <c r="D45" s="476"/>
      <c r="E45" s="477"/>
      <c r="F45" s="486" t="e">
        <f>+F17-F42</f>
        <v>#REF!</v>
      </c>
      <c r="G45" s="613"/>
      <c r="H45" s="342"/>
      <c r="I45" s="624">
        <f>+'[2]Balance Sheet (pg 1)'!$E$44</f>
        <v>-8375390.010000002</v>
      </c>
    </row>
    <row r="46" spans="2:9" ht="15">
      <c r="B46" s="618"/>
      <c r="C46" s="477"/>
      <c r="D46" s="477"/>
      <c r="E46" s="477"/>
      <c r="F46" s="476"/>
      <c r="G46" s="613"/>
      <c r="H46" s="342"/>
      <c r="I46" s="620"/>
    </row>
    <row r="47" spans="2:9" ht="15.75" thickBot="1">
      <c r="B47" s="627" t="s">
        <v>337</v>
      </c>
      <c r="C47" s="628"/>
      <c r="D47" s="628"/>
      <c r="E47" s="628"/>
      <c r="F47" s="480" t="e">
        <f>F42+F45</f>
        <v>#REF!</v>
      </c>
      <c r="G47" s="629"/>
      <c r="H47" s="601"/>
      <c r="I47" s="630">
        <f>I42+I45</f>
        <v>8950217.299999997</v>
      </c>
    </row>
    <row r="48" spans="2:7" ht="15" thickTop="1">
      <c r="B48" s="15"/>
      <c r="C48" s="472"/>
      <c r="D48" s="472"/>
      <c r="E48" s="472"/>
      <c r="F48" s="472"/>
      <c r="G48" s="13"/>
    </row>
    <row r="49" spans="2:7" ht="14.25">
      <c r="B49" s="15"/>
      <c r="F49" s="472"/>
      <c r="G49" s="13"/>
    </row>
  </sheetData>
  <sheetProtection/>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zoomScalePageLayoutView="0"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05" t="s">
        <v>320</v>
      </c>
      <c r="B1" s="1005"/>
      <c r="C1" s="1005"/>
      <c r="D1" s="1005"/>
      <c r="E1" s="1005"/>
      <c r="F1" s="1005"/>
      <c r="G1" s="1005"/>
      <c r="H1" s="1005"/>
    </row>
    <row r="2" spans="1:8" ht="19.5" customHeight="1">
      <c r="A2" s="1004"/>
      <c r="B2" s="1004"/>
      <c r="C2" s="1004"/>
      <c r="D2" s="1004"/>
      <c r="E2" s="1004"/>
      <c r="F2" s="1004"/>
      <c r="G2" s="1004"/>
      <c r="H2" s="1004"/>
    </row>
    <row r="3" spans="1:8" s="103" customFormat="1" ht="18.75">
      <c r="A3" s="1006" t="s">
        <v>454</v>
      </c>
      <c r="B3" s="1006"/>
      <c r="C3" s="1006"/>
      <c r="D3" s="1006"/>
      <c r="E3" s="1006"/>
      <c r="F3" s="1006"/>
      <c r="G3" s="1006"/>
      <c r="H3" s="1006"/>
    </row>
    <row r="4" spans="1:8" s="103" customFormat="1" ht="18.75">
      <c r="A4" s="1006" t="str">
        <f>+'(7)Premiums YTD8'!A4</f>
        <v>YTD PERIOD MARCH 31st, 2004</v>
      </c>
      <c r="B4" s="1006"/>
      <c r="C4" s="1006"/>
      <c r="D4" s="1006"/>
      <c r="E4" s="1006"/>
      <c r="F4" s="1006"/>
      <c r="G4" s="1006"/>
      <c r="H4" s="1006"/>
    </row>
    <row r="5" spans="1:8" s="103" customFormat="1" ht="16.5">
      <c r="A5" s="453"/>
      <c r="B5" s="376"/>
      <c r="C5" s="376"/>
      <c r="D5" s="454"/>
      <c r="E5" s="454"/>
      <c r="F5" s="454"/>
      <c r="G5" s="377"/>
      <c r="H5" s="454"/>
    </row>
    <row r="6" spans="1:8" ht="30" customHeight="1">
      <c r="A6" s="455"/>
      <c r="B6" s="570" t="s">
        <v>112</v>
      </c>
      <c r="C6" s="570" t="s">
        <v>116</v>
      </c>
      <c r="D6" s="570" t="s">
        <v>212</v>
      </c>
      <c r="E6" s="570" t="s">
        <v>282</v>
      </c>
      <c r="F6" s="570" t="s">
        <v>167</v>
      </c>
      <c r="G6" s="571" t="s">
        <v>302</v>
      </c>
      <c r="H6" s="571" t="s">
        <v>321</v>
      </c>
    </row>
    <row r="7" spans="1:8" s="127" customFormat="1" ht="15.75">
      <c r="A7" s="567" t="s">
        <v>455</v>
      </c>
      <c r="B7" s="456"/>
      <c r="C7" s="456"/>
      <c r="D7" s="457"/>
      <c r="E7" s="457"/>
      <c r="F7" s="457"/>
      <c r="G7" s="457"/>
      <c r="H7" s="457"/>
    </row>
    <row r="8" spans="1:8" s="127" customFormat="1" ht="15">
      <c r="A8" s="567" t="s">
        <v>456</v>
      </c>
      <c r="B8" s="375"/>
      <c r="C8" s="375"/>
      <c r="D8" s="457"/>
      <c r="E8" s="457"/>
      <c r="F8" s="457"/>
      <c r="G8" s="457"/>
      <c r="H8" s="457"/>
    </row>
    <row r="9" spans="1:9" ht="14.25">
      <c r="A9" s="568" t="s">
        <v>457</v>
      </c>
      <c r="B9" s="331">
        <f>+'[5]TB03-31-04(Final)'!F368</f>
        <v>1626410.46</v>
      </c>
      <c r="C9" s="331">
        <f>+'[5]TB03-31-04(Final)'!F367+'[5]TB03-31-04(Final)'!F398</f>
        <v>1371608.06</v>
      </c>
      <c r="D9" s="331">
        <f>+'[5]TB03-31-04(Final)'!F366+'[5]TB03-31-04(Final)'!F397</f>
        <v>-4174.74</v>
      </c>
      <c r="E9" s="331">
        <f>+'[5]TB03-31-04(Final)'!F365</f>
        <v>59250</v>
      </c>
      <c r="F9" s="331">
        <f>SUM('[5]TB03-31-04(Final)'!F361:F364)+'[5]TB03-31-04(Final)'!G396</f>
        <v>-100</v>
      </c>
      <c r="G9" s="478">
        <f>SUM(D9:F9)</f>
        <v>54975.26</v>
      </c>
      <c r="H9" s="478">
        <f>SUM(B9:F9)</f>
        <v>3052993.78</v>
      </c>
      <c r="I9" s="25"/>
    </row>
    <row r="10" spans="1:8" s="23" customFormat="1" ht="14.25">
      <c r="A10" s="568" t="s">
        <v>458</v>
      </c>
      <c r="B10" s="331">
        <f>+'[5]TB03-31-04(Final)'!F376</f>
        <v>628151.78</v>
      </c>
      <c r="C10" s="331">
        <f>+'[5]TB03-31-04(Final)'!F375+'[5]TB03-31-04(Final)'!F403</f>
        <v>69982.57</v>
      </c>
      <c r="D10" s="331">
        <f>+'[5]TB03-31-04(Final)'!F374+'[5]TB03-31-04(Final)'!F402</f>
        <v>0</v>
      </c>
      <c r="E10" s="331">
        <f>+'[5]TB03-31-04(Final)'!F373</f>
        <v>0</v>
      </c>
      <c r="F10" s="331" t="e">
        <f>SUM('[5]TB03-31-04(Final)'!F370:F372)+'[5]TB03-31-04(Final)'!G400</f>
        <v>#REF!</v>
      </c>
      <c r="G10" s="331" t="e">
        <f>SUM(D10:F10)</f>
        <v>#REF!</v>
      </c>
      <c r="H10" s="331" t="e">
        <f>SUM(B10:F10)</f>
        <v>#REF!</v>
      </c>
    </row>
    <row r="11" spans="1:8" s="23" customFormat="1" ht="14.25">
      <c r="A11" s="568" t="s">
        <v>459</v>
      </c>
      <c r="B11" s="331">
        <f>+'[5]TB03-31-04(Final)'!F383</f>
        <v>1229</v>
      </c>
      <c r="C11" s="331" t="e">
        <f>+'[5]TB03-31-04(Final)'!F382+'[5]TB03-31-04(Final)'!F385</f>
        <v>#REF!</v>
      </c>
      <c r="D11" s="331" t="e">
        <f>+'[5]TB03-31-04(Final)'!F384</f>
        <v>#REF!</v>
      </c>
      <c r="E11" s="331">
        <v>0</v>
      </c>
      <c r="F11" s="331">
        <f>+'[5]TB03-31-04(Final)'!F381</f>
        <v>0</v>
      </c>
      <c r="G11" s="331" t="e">
        <f>SUM(D11:F11)</f>
        <v>#REF!</v>
      </c>
      <c r="H11" s="512" t="e">
        <f>SUM(B11:F11)</f>
        <v>#REF!</v>
      </c>
    </row>
    <row r="12" spans="1:10" s="23" customFormat="1" ht="15.75" thickBot="1">
      <c r="A12" s="452" t="s">
        <v>448</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8"/>
      <c r="B13" s="126"/>
      <c r="C13" s="126"/>
      <c r="D13" s="331"/>
      <c r="E13" s="331"/>
      <c r="F13" s="331"/>
      <c r="G13" s="331"/>
      <c r="H13" s="331"/>
      <c r="I13" s="23">
        <f>+'[5]TB03-31-04(Final)'!G407</f>
        <v>3783761.3799999994</v>
      </c>
      <c r="J13" s="23" t="e">
        <f>+H12-I13</f>
        <v>#REF!</v>
      </c>
    </row>
    <row r="14" spans="1:9" s="23" customFormat="1" ht="15">
      <c r="A14" s="452" t="s">
        <v>77</v>
      </c>
      <c r="B14" s="126"/>
      <c r="C14" s="126"/>
      <c r="D14" s="555"/>
      <c r="E14" s="555"/>
      <c r="F14" s="555"/>
      <c r="G14" s="331"/>
      <c r="H14" s="331"/>
      <c r="I14" s="287"/>
    </row>
    <row r="15" spans="1:8" s="23" customFormat="1" ht="14.25">
      <c r="A15" s="568" t="s">
        <v>460</v>
      </c>
      <c r="B15" s="331">
        <f>+'[5](1)IBNR Cal13'!E27</f>
        <v>5669000.165311479</v>
      </c>
      <c r="C15" s="331">
        <f>+'[5](1)IBNR Cal13'!E21</f>
        <v>388216.64</v>
      </c>
      <c r="D15" s="331">
        <f>+'[5](1)IBNR Cal13'!E15</f>
        <v>86015</v>
      </c>
      <c r="E15" s="331">
        <f>+'[5](1)IBNR Cal13'!E9</f>
        <v>93733</v>
      </c>
      <c r="F15" s="331" t="e">
        <f>+'[5](1)IBNR Cal13'!#REF!</f>
        <v>#REF!</v>
      </c>
      <c r="G15" s="331" t="e">
        <f>'[5](1)IBNR Cal13'!#REF!</f>
        <v>#REF!</v>
      </c>
      <c r="H15" s="331" t="e">
        <f>SUM(B15:F15)</f>
        <v>#REF!</v>
      </c>
    </row>
    <row r="16" spans="1:8" s="23" customFormat="1" ht="14.25">
      <c r="A16" s="568" t="s">
        <v>461</v>
      </c>
      <c r="B16" s="331">
        <f>+'[5](1)IBNR Cal13'!E28</f>
        <v>848086.9279600321</v>
      </c>
      <c r="C16" s="331">
        <f>+'[5](1)IBNR Cal13'!E22</f>
        <v>137574.07</v>
      </c>
      <c r="D16" s="331">
        <f>+'[5](1)IBNR Cal13'!E16</f>
        <v>6011</v>
      </c>
      <c r="E16" s="331">
        <v>0</v>
      </c>
      <c r="F16" s="331">
        <f>10</f>
        <v>10</v>
      </c>
      <c r="G16" s="331" t="e">
        <f>'[5](1)IBNR Cal13'!#REF!</f>
        <v>#REF!</v>
      </c>
      <c r="H16" s="331">
        <f>SUM(B16:F16)</f>
        <v>991681.9979600322</v>
      </c>
    </row>
    <row r="17" spans="1:8" s="23" customFormat="1" ht="14.25">
      <c r="A17" s="568" t="s">
        <v>462</v>
      </c>
      <c r="B17" s="331">
        <f>'[5](1)IBNR Cal13'!E29</f>
        <v>13148.069670959347</v>
      </c>
      <c r="C17" s="331">
        <f>'[5](1)IBNR Cal13'!E23</f>
        <v>0</v>
      </c>
      <c r="D17" s="331">
        <f>'[5](1)IBNR Cal13'!E17</f>
        <v>0</v>
      </c>
      <c r="E17" s="331">
        <f>+'[5](1)IBNR Cal13'!E11</f>
        <v>0</v>
      </c>
      <c r="F17" s="331" t="e">
        <f>+'[5](1)IBNR Cal13'!#REF!</f>
        <v>#REF!</v>
      </c>
      <c r="G17" s="331" t="e">
        <f>'[5](1)IBNR Cal13'!#REF!</f>
        <v>#REF!</v>
      </c>
      <c r="H17" s="331" t="e">
        <f>SUM(B17:F17)-1</f>
        <v>#REF!</v>
      </c>
    </row>
    <row r="18" spans="1:9" s="23" customFormat="1" ht="15.75" thickBot="1">
      <c r="A18" s="452" t="s">
        <v>448</v>
      </c>
      <c r="B18" s="332">
        <f>SUM(B15:B17)-1</f>
        <v>6530234.16294247</v>
      </c>
      <c r="C18" s="332">
        <f>SUM(C15:C17)</f>
        <v>525790.71</v>
      </c>
      <c r="D18" s="332">
        <f>SUM(D15:D17)</f>
        <v>92026</v>
      </c>
      <c r="E18" s="332">
        <f>SUM(E15:E17)</f>
        <v>93733</v>
      </c>
      <c r="F18" s="332" t="e">
        <f>SUM(F15:F17)</f>
        <v>#REF!</v>
      </c>
      <c r="G18" s="332" t="e">
        <f>SUM(G15:G17)</f>
        <v>#REF!</v>
      </c>
      <c r="H18" s="129" t="e">
        <f>SUM(B18:F18)</f>
        <v>#REF!</v>
      </c>
      <c r="I18" s="23">
        <f>+'[5](1)IBNR Cal13'!E42</f>
        <v>7846756.2299999995</v>
      </c>
    </row>
    <row r="19" spans="1:8" s="23" customFormat="1" ht="15" thickTop="1">
      <c r="A19" s="458"/>
      <c r="B19" s="126"/>
      <c r="C19" s="126"/>
      <c r="D19" s="331"/>
      <c r="E19" s="331"/>
      <c r="F19" s="331"/>
      <c r="G19" s="331"/>
      <c r="H19" s="331"/>
    </row>
    <row r="20" spans="1:8" s="23" customFormat="1" ht="15">
      <c r="A20" s="452" t="s">
        <v>271</v>
      </c>
      <c r="B20" s="312"/>
      <c r="C20" s="312"/>
      <c r="D20" s="331"/>
      <c r="E20" s="331"/>
      <c r="F20" s="331"/>
      <c r="G20" s="331"/>
      <c r="H20" s="331"/>
    </row>
    <row r="21" spans="1:8" s="23" customFormat="1" ht="14.25">
      <c r="A21" s="568" t="s">
        <v>460</v>
      </c>
      <c r="B21" s="126">
        <v>0</v>
      </c>
      <c r="C21" s="126">
        <v>3812746</v>
      </c>
      <c r="D21" s="331">
        <v>796384</v>
      </c>
      <c r="E21" s="331">
        <v>173012</v>
      </c>
      <c r="F21" s="331">
        <f>4+76330</f>
        <v>76334</v>
      </c>
      <c r="G21" s="331">
        <f>+'[8]Losses Incurred QTR'!$F$21</f>
        <v>149640.16</v>
      </c>
      <c r="H21" s="331">
        <f>SUM(B21:F21)</f>
        <v>4858476</v>
      </c>
    </row>
    <row r="22" spans="1:8" s="23" customFormat="1" ht="14.25">
      <c r="A22" s="568" t="s">
        <v>461</v>
      </c>
      <c r="B22" s="126">
        <v>0</v>
      </c>
      <c r="C22" s="126">
        <v>582573</v>
      </c>
      <c r="D22" s="331">
        <v>136274</v>
      </c>
      <c r="E22" s="331">
        <v>-982</v>
      </c>
      <c r="F22" s="331">
        <f>366+1967</f>
        <v>2333</v>
      </c>
      <c r="G22" s="331">
        <f>+'[8]Losses Incurred QTR'!$F$22</f>
        <v>60667.2</v>
      </c>
      <c r="H22" s="331">
        <f>SUM(B22:F22)-1</f>
        <v>720197</v>
      </c>
    </row>
    <row r="23" spans="1:8" s="23" customFormat="1" ht="14.25">
      <c r="A23" s="568" t="s">
        <v>462</v>
      </c>
      <c r="B23" s="126">
        <v>0</v>
      </c>
      <c r="C23" s="126">
        <v>8804</v>
      </c>
      <c r="D23" s="331">
        <v>0</v>
      </c>
      <c r="E23" s="331">
        <v>0</v>
      </c>
      <c r="F23" s="331">
        <v>0</v>
      </c>
      <c r="G23" s="331">
        <f>+'[8]Losses Incurred QTR'!$F$23</f>
        <v>-8764</v>
      </c>
      <c r="H23" s="331">
        <f>SUM(B23:F23)</f>
        <v>8804</v>
      </c>
    </row>
    <row r="24" spans="1:9" s="23" customFormat="1" ht="15.75" thickBot="1">
      <c r="A24" s="452" t="s">
        <v>448</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8"/>
      <c r="B25" s="126"/>
      <c r="C25" s="126"/>
      <c r="D25" s="331"/>
      <c r="E25" s="331"/>
      <c r="F25" s="331"/>
      <c r="G25" s="331"/>
      <c r="H25" s="331"/>
      <c r="I25" s="23">
        <f>+I18-I24</f>
        <v>2259279.2299999995</v>
      </c>
    </row>
    <row r="26" spans="1:9" s="23" customFormat="1" ht="15">
      <c r="A26" s="452" t="s">
        <v>498</v>
      </c>
      <c r="B26" s="126"/>
      <c r="C26" s="126"/>
      <c r="D26" s="331"/>
      <c r="E26" s="331"/>
      <c r="F26" s="331"/>
      <c r="G26" s="331"/>
      <c r="H26" s="331"/>
      <c r="I26" s="23" t="e">
        <f>+H12+I25</f>
        <v>#REF!</v>
      </c>
    </row>
    <row r="27" spans="1:8" s="23" customFormat="1" ht="14.25">
      <c r="A27" s="568" t="s">
        <v>460</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8" t="s">
        <v>461</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8" t="s">
        <v>462</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448</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30">
      <c r="A33" s="455"/>
      <c r="B33" s="572" t="s">
        <v>112</v>
      </c>
      <c r="C33" s="572" t="s">
        <v>116</v>
      </c>
      <c r="D33" s="573" t="s">
        <v>91</v>
      </c>
      <c r="E33" s="538"/>
      <c r="F33" s="538"/>
      <c r="G33" s="538"/>
      <c r="I33" s="110">
        <f>+'[5]TB03-31-04(Final)'!G462</f>
        <v>4105799.4900000007</v>
      </c>
    </row>
    <row r="34" spans="1:7" ht="18" customHeight="1">
      <c r="A34" s="569" t="s">
        <v>464</v>
      </c>
      <c r="B34" s="552"/>
      <c r="C34" s="552"/>
      <c r="D34" s="553"/>
      <c r="E34" s="553"/>
      <c r="F34" s="553"/>
      <c r="G34" s="478"/>
    </row>
    <row r="35" spans="1:7" ht="14.25">
      <c r="A35" s="568" t="s">
        <v>460</v>
      </c>
      <c r="B35" s="472">
        <f>+'[5](1)IBNR Cal13'!C27</f>
        <v>929888.0153114785</v>
      </c>
      <c r="C35" s="126">
        <v>0</v>
      </c>
      <c r="D35" s="357">
        <f>SUM(B35:C35)</f>
        <v>929888.0153114785</v>
      </c>
      <c r="E35" s="357"/>
      <c r="F35" s="357"/>
      <c r="G35" s="113"/>
    </row>
    <row r="36" spans="1:7" ht="14.25">
      <c r="A36" s="568" t="s">
        <v>461</v>
      </c>
      <c r="B36" s="126">
        <f>+'[5](1)IBNR Cal13'!C28</f>
        <v>302248.25796003203</v>
      </c>
      <c r="C36" s="126">
        <v>0</v>
      </c>
      <c r="D36" s="122">
        <f>SUM(B36:C36)</f>
        <v>302248.25796003203</v>
      </c>
      <c r="E36" s="304"/>
      <c r="F36" s="304"/>
      <c r="G36" s="122"/>
    </row>
    <row r="37" spans="1:7" ht="14.25">
      <c r="A37" s="568" t="s">
        <v>462</v>
      </c>
      <c r="B37" s="126">
        <f>+'[5](1)IBNR Cal13'!C29</f>
        <v>4148.069670959347</v>
      </c>
      <c r="C37" s="126">
        <v>0</v>
      </c>
      <c r="D37" s="122">
        <f>SUM(B37:C37)</f>
        <v>4148.069670959347</v>
      </c>
      <c r="E37" s="304"/>
      <c r="F37" s="304"/>
      <c r="G37" s="122"/>
    </row>
    <row r="38" spans="1:7" ht="15.75" thickBot="1">
      <c r="A38" s="452" t="s">
        <v>448</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203</v>
      </c>
      <c r="E50" s="321" t="s">
        <v>203</v>
      </c>
      <c r="F50" s="321" t="s">
        <v>203</v>
      </c>
    </row>
  </sheetData>
  <sheetProtection/>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zoomScalePageLayoutView="0" workbookViewId="0" topLeftCell="A1">
      <selection activeCell="A1" sqref="A1:IV65536"/>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9" t="s">
        <v>320</v>
      </c>
      <c r="B1" s="459"/>
      <c r="C1" s="423"/>
      <c r="D1" s="460"/>
      <c r="E1" s="460"/>
      <c r="F1" s="461"/>
      <c r="G1" s="461"/>
      <c r="H1" s="461"/>
    </row>
    <row r="2" spans="1:9" ht="18.75">
      <c r="A2" s="425"/>
      <c r="B2" s="425"/>
      <c r="C2" s="450"/>
      <c r="D2" s="450"/>
      <c r="E2" s="450"/>
      <c r="F2" s="426"/>
      <c r="G2" s="414"/>
      <c r="H2" s="414"/>
      <c r="I2" s="18"/>
    </row>
    <row r="3" spans="1:9" ht="15">
      <c r="A3" s="462" t="s">
        <v>465</v>
      </c>
      <c r="B3" s="462"/>
      <c r="C3" s="428"/>
      <c r="D3" s="463"/>
      <c r="E3" s="463"/>
      <c r="F3" s="414"/>
      <c r="G3" s="414"/>
      <c r="H3" s="414"/>
      <c r="I3" s="18"/>
    </row>
    <row r="4" spans="1:9" ht="15">
      <c r="A4" s="462" t="s">
        <v>466</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45">
      <c r="A7" s="465"/>
      <c r="B7" s="373" t="s">
        <v>112</v>
      </c>
      <c r="C7" s="373" t="s">
        <v>116</v>
      </c>
      <c r="D7" s="466" t="s">
        <v>212</v>
      </c>
      <c r="E7" s="466" t="s">
        <v>282</v>
      </c>
      <c r="F7" s="466" t="s">
        <v>167</v>
      </c>
      <c r="G7" s="466" t="s">
        <v>302</v>
      </c>
      <c r="H7" s="467" t="s">
        <v>321</v>
      </c>
      <c r="I7" s="18"/>
    </row>
    <row r="8" spans="1:9" ht="30">
      <c r="A8" s="468" t="s">
        <v>467</v>
      </c>
      <c r="B8" s="372"/>
      <c r="C8" s="372"/>
      <c r="D8" s="380"/>
      <c r="E8" s="380"/>
      <c r="F8" s="380"/>
      <c r="G8" s="380"/>
      <c r="H8" s="469"/>
      <c r="I8" s="18"/>
    </row>
    <row r="9" spans="1:39" ht="14.25">
      <c r="A9" s="369" t="s">
        <v>445</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446</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447</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448</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1" t="s">
        <v>79</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445</v>
      </c>
      <c r="B15" s="122">
        <f>'[5](3)Cal. UPLR14'!C30</f>
        <v>600445.509405</v>
      </c>
      <c r="C15" s="122">
        <f>'[5](3)Cal. UPLR14'!D30</f>
        <v>49187.048288</v>
      </c>
      <c r="D15" s="122">
        <f>'[5](3)Cal. UPLR14'!E30</f>
        <v>10898.1005</v>
      </c>
      <c r="E15" s="122">
        <f>'[5](3)Cal. UPLR14'!F30</f>
        <v>11875.9711</v>
      </c>
      <c r="F15" s="126" t="e">
        <f>'[5](3)Cal. UPLR14'!#REF!</f>
        <v>#REF!</v>
      </c>
      <c r="G15" s="122" t="e">
        <f>'[5](3)Cal.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446</v>
      </c>
      <c r="B16" s="122">
        <f>'[5](3)Cal. UPLR14'!C31</f>
        <v>69157.759489</v>
      </c>
      <c r="C16" s="122">
        <f>'[5](3)Cal. UPLR14'!D31</f>
        <v>17430.634669</v>
      </c>
      <c r="D16" s="122">
        <f>'[5](3)Cal. UPLR14'!E31+1</f>
        <v>762.5936999999999</v>
      </c>
      <c r="E16" s="122">
        <v>0</v>
      </c>
      <c r="F16" s="122">
        <v>0</v>
      </c>
      <c r="G16" s="122" t="e">
        <f>'[5](3)Cal.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447</v>
      </c>
      <c r="B17" s="122">
        <f>'[5](3)Cal. UPLR14'!C32</f>
        <v>1140.3</v>
      </c>
      <c r="C17" s="122">
        <f>'[5](3)Cal. UPLR14'!D32</f>
        <v>0</v>
      </c>
      <c r="D17" s="122">
        <f>'[5](3)Cal. UPLR14'!E32</f>
        <v>0</v>
      </c>
      <c r="E17" s="122">
        <f>'[5](3)Cal. UPLR14'!F32</f>
        <v>0</v>
      </c>
      <c r="F17" s="122" t="e">
        <f>'[5](3)Cal. UPLR14'!#REF!</f>
        <v>#REF!</v>
      </c>
      <c r="G17" s="122" t="e">
        <f>'[5](3)Cal.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448</v>
      </c>
      <c r="B18" s="332">
        <f>'[5](3)Cal. UPLR14'!C33</f>
        <v>670743.568894</v>
      </c>
      <c r="C18" s="332">
        <f>'[5](3)Cal. UPLR14'!D33</f>
        <v>66617.682957</v>
      </c>
      <c r="D18" s="332">
        <f>'[5](3)Cal. UPLR14'!E33</f>
        <v>11659.6942</v>
      </c>
      <c r="E18" s="332">
        <f>'[5](3)Cal. UPLR14'!F33</f>
        <v>11876.9847</v>
      </c>
      <c r="F18" s="332" t="e">
        <f>'[5](3)Cal. UPLR14'!#REF!</f>
        <v>#REF!</v>
      </c>
      <c r="G18" s="332" t="e">
        <f>'[5](3)Cal. UPLR14'!#REF!</f>
        <v>#REF!</v>
      </c>
      <c r="H18" s="129" t="e">
        <f>SUM(B18:F18)</f>
        <v>#REF!</v>
      </c>
      <c r="I18" s="111">
        <f>+'[5](3)Cal.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1" t="s">
        <v>270</v>
      </c>
      <c r="B20" s="312" t="s">
        <v>319</v>
      </c>
      <c r="C20" s="312" t="s">
        <v>319</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445</v>
      </c>
      <c r="B21" s="126">
        <v>0</v>
      </c>
      <c r="C21" s="126">
        <v>317463</v>
      </c>
      <c r="D21" s="126">
        <v>88558</v>
      </c>
      <c r="E21" s="122">
        <v>19239</v>
      </c>
      <c r="F21" s="122">
        <v>8488</v>
      </c>
      <c r="G21" s="122">
        <f>+'[8]Loss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468</v>
      </c>
      <c r="B22" s="126">
        <v>0</v>
      </c>
      <c r="C22" s="126">
        <v>25508</v>
      </c>
      <c r="D22" s="126">
        <v>15154</v>
      </c>
      <c r="E22" s="122">
        <v>-109</v>
      </c>
      <c r="F22" s="122">
        <f>41+219</f>
        <v>260</v>
      </c>
      <c r="G22" s="122">
        <f>+'[8]Loss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447</v>
      </c>
      <c r="B23" s="126">
        <v>0</v>
      </c>
      <c r="C23" s="126">
        <v>278</v>
      </c>
      <c r="D23" s="126">
        <v>0</v>
      </c>
      <c r="E23" s="122">
        <v>0</v>
      </c>
      <c r="F23" s="122">
        <f>+'[9]Loss Expenses YTD (pg 12)'!$C$17</f>
        <v>0</v>
      </c>
      <c r="G23" s="122">
        <f>+'[8]Loss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448</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1" t="s">
        <v>469</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445</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446</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447</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448</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+'[5]TB03-31-04(Final)'!G578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sheetProtection/>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zoomScalePageLayoutView="0"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09" t="s">
        <v>320</v>
      </c>
      <c r="B1" s="1009"/>
      <c r="C1" s="1009"/>
      <c r="D1" s="1009"/>
      <c r="E1" s="1009"/>
      <c r="F1" s="338" t="s">
        <v>104</v>
      </c>
      <c r="G1" s="339" t="s">
        <v>260</v>
      </c>
      <c r="H1" s="149" t="s">
        <v>476</v>
      </c>
      <c r="I1" s="150" t="s">
        <v>104</v>
      </c>
      <c r="J1" s="150"/>
      <c r="K1" s="189" t="s">
        <v>315</v>
      </c>
      <c r="L1" s="231"/>
      <c r="M1" s="231"/>
      <c r="N1" s="231"/>
    </row>
    <row r="2" spans="1:11" ht="20.25">
      <c r="A2" s="1007" t="s">
        <v>317</v>
      </c>
      <c r="B2" s="1007"/>
      <c r="C2" s="1007"/>
      <c r="D2" s="1007"/>
      <c r="E2" s="1007"/>
      <c r="F2" s="151"/>
      <c r="G2" s="79"/>
      <c r="H2" s="75" t="s">
        <v>477</v>
      </c>
      <c r="I2" s="152"/>
      <c r="K2" s="190"/>
    </row>
    <row r="3" spans="1:11" ht="20.25">
      <c r="A3" s="1008">
        <v>37802</v>
      </c>
      <c r="B3" s="1008"/>
      <c r="C3" s="1008"/>
      <c r="D3" s="1008"/>
      <c r="E3" s="1008"/>
      <c r="F3" s="151"/>
      <c r="G3" s="153"/>
      <c r="H3" s="76"/>
      <c r="K3" s="190" t="s">
        <v>330</v>
      </c>
    </row>
    <row r="4" spans="1:11" ht="15.75">
      <c r="A4" s="2"/>
      <c r="B4" s="2" t="s">
        <v>257</v>
      </c>
      <c r="C4" s="2"/>
      <c r="D4" s="80"/>
      <c r="E4" s="80"/>
      <c r="F4" s="154" t="s">
        <v>478</v>
      </c>
      <c r="H4" s="76"/>
      <c r="K4" s="190"/>
    </row>
    <row r="5" spans="1:11" ht="15.75">
      <c r="A5" s="81"/>
      <c r="B5" s="82" t="s">
        <v>473</v>
      </c>
      <c r="C5" s="3" t="s">
        <v>474</v>
      </c>
      <c r="D5" s="83" t="s">
        <v>475</v>
      </c>
      <c r="E5" s="80"/>
      <c r="F5" s="155" t="s">
        <v>479</v>
      </c>
      <c r="G5" s="77" t="s">
        <v>480</v>
      </c>
      <c r="H5" s="75" t="s">
        <v>481</v>
      </c>
      <c r="I5" s="78" t="s">
        <v>482</v>
      </c>
      <c r="J5" s="75"/>
      <c r="K5" s="191" t="s">
        <v>483</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117</v>
      </c>
      <c r="H8" s="76" t="s">
        <v>123</v>
      </c>
      <c r="I8" s="76">
        <f>D9</f>
        <v>737754.17</v>
      </c>
      <c r="J8" s="84"/>
      <c r="K8" s="190"/>
      <c r="L8" s="230"/>
      <c r="M8" s="230"/>
      <c r="N8" s="230"/>
    </row>
    <row r="9" spans="1:14" ht="15.75">
      <c r="A9" s="87" t="s">
        <v>445</v>
      </c>
      <c r="B9" s="199">
        <f>-'[5](1)IBNR Cal13'!C21</f>
        <v>0</v>
      </c>
      <c r="C9" s="199">
        <v>-737754.17</v>
      </c>
      <c r="D9" s="199">
        <f>B9-C9</f>
        <v>737754.17</v>
      </c>
      <c r="E9" s="160"/>
      <c r="F9" s="161"/>
      <c r="G9" s="76" t="s">
        <v>118</v>
      </c>
      <c r="H9" s="76" t="s">
        <v>124</v>
      </c>
      <c r="I9" s="76">
        <f>D10</f>
        <v>272517.95</v>
      </c>
      <c r="J9" s="84"/>
      <c r="K9" s="190"/>
      <c r="L9" s="230"/>
      <c r="M9" s="230"/>
      <c r="N9" s="230"/>
    </row>
    <row r="10" spans="1:14" ht="15.75">
      <c r="A10" s="87" t="s">
        <v>468</v>
      </c>
      <c r="B10" s="199">
        <f>-'[5](1)IBNR Cal13'!C22</f>
        <v>0</v>
      </c>
      <c r="C10" s="199">
        <v>-272517.95</v>
      </c>
      <c r="D10" s="199">
        <f>B10-C10</f>
        <v>272517.95</v>
      </c>
      <c r="E10" s="160"/>
      <c r="F10" s="161"/>
      <c r="G10" s="76" t="s">
        <v>119</v>
      </c>
      <c r="H10" s="76" t="s">
        <v>125</v>
      </c>
      <c r="I10" s="76">
        <f>D11</f>
        <v>4757.34</v>
      </c>
      <c r="J10" s="84"/>
      <c r="K10" s="190"/>
      <c r="L10" s="230"/>
      <c r="M10" s="230"/>
      <c r="N10" s="230"/>
    </row>
    <row r="11" spans="1:14" ht="15.75">
      <c r="A11" s="87" t="s">
        <v>447</v>
      </c>
      <c r="B11" s="293">
        <f>-'[5](1)IBNR Cal13'!C23</f>
        <v>0</v>
      </c>
      <c r="C11" s="199">
        <v>-4757.34</v>
      </c>
      <c r="D11" s="199">
        <f>B11-C11</f>
        <v>4757.34</v>
      </c>
      <c r="E11" s="160"/>
      <c r="F11" s="161"/>
      <c r="G11" s="76" t="s">
        <v>120</v>
      </c>
      <c r="H11" s="76" t="s">
        <v>126</v>
      </c>
      <c r="J11" s="84"/>
      <c r="K11" s="190">
        <f>I8</f>
        <v>737754.17</v>
      </c>
      <c r="L11" s="230"/>
      <c r="M11" s="230"/>
      <c r="N11" s="230"/>
    </row>
    <row r="12" spans="1:14" ht="15.75">
      <c r="A12" s="87"/>
      <c r="B12" s="199"/>
      <c r="C12" s="200"/>
      <c r="D12" s="199"/>
      <c r="E12" s="160"/>
      <c r="F12" s="161"/>
      <c r="G12" s="76" t="s">
        <v>121</v>
      </c>
      <c r="H12" s="76" t="s">
        <v>127</v>
      </c>
      <c r="J12" s="84"/>
      <c r="K12" s="190">
        <f>I9</f>
        <v>272517.95</v>
      </c>
      <c r="L12" s="230"/>
      <c r="M12" s="230"/>
      <c r="N12" s="230"/>
    </row>
    <row r="13" spans="1:14" ht="15.75">
      <c r="A13" s="87" t="s">
        <v>131</v>
      </c>
      <c r="B13" s="201">
        <f>SUM(B9:B12)</f>
        <v>0</v>
      </c>
      <c r="C13" s="201">
        <f>SUM(C9:C12)</f>
        <v>-1015029.4600000001</v>
      </c>
      <c r="D13" s="201">
        <f>SUM(D9:D12)</f>
        <v>1015029.4600000001</v>
      </c>
      <c r="E13" s="160"/>
      <c r="F13" s="161"/>
      <c r="G13" s="76" t="s">
        <v>122</v>
      </c>
      <c r="H13" s="76" t="s">
        <v>128</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106</v>
      </c>
      <c r="H15" s="76" t="s">
        <v>307</v>
      </c>
      <c r="J15" s="84"/>
      <c r="K15" s="190">
        <f>-D16</f>
        <v>664860.7953114785</v>
      </c>
      <c r="L15" s="230"/>
      <c r="M15" s="230"/>
      <c r="N15" s="230"/>
    </row>
    <row r="16" spans="1:14" ht="15.75">
      <c r="A16" s="87" t="s">
        <v>445</v>
      </c>
      <c r="B16" s="199">
        <f>-'[5](1)IBNR Cal13'!C27</f>
        <v>-929888.0153114785</v>
      </c>
      <c r="C16" s="199">
        <v>-265027.22</v>
      </c>
      <c r="D16" s="199">
        <f>B16-C16</f>
        <v>-664860.7953114785</v>
      </c>
      <c r="E16" s="160"/>
      <c r="F16" s="161"/>
      <c r="G16" s="76" t="s">
        <v>107</v>
      </c>
      <c r="H16" s="76" t="s">
        <v>308</v>
      </c>
      <c r="J16" s="84"/>
      <c r="K16" s="190">
        <f>-D17</f>
        <v>216633.17796003202</v>
      </c>
      <c r="L16" s="230"/>
      <c r="M16" s="230"/>
      <c r="N16" s="230"/>
    </row>
    <row r="17" spans="1:14" ht="15.75">
      <c r="A17" s="87" t="s">
        <v>468</v>
      </c>
      <c r="B17" s="199">
        <f>-'[5](1)IBNR Cal13'!C28</f>
        <v>-302248.25796003203</v>
      </c>
      <c r="C17" s="199">
        <v>-85615.08</v>
      </c>
      <c r="D17" s="199">
        <f>B17-C17</f>
        <v>-216633.17796003202</v>
      </c>
      <c r="E17" s="160"/>
      <c r="F17" s="161"/>
      <c r="G17" s="76" t="s">
        <v>108</v>
      </c>
      <c r="H17" s="76" t="s">
        <v>309</v>
      </c>
      <c r="J17" s="84"/>
      <c r="K17" s="190">
        <f>-D18</f>
        <v>2832.0896709593467</v>
      </c>
      <c r="L17" s="230"/>
      <c r="M17" s="230"/>
      <c r="N17" s="230"/>
    </row>
    <row r="18" spans="1:14" ht="15.75">
      <c r="A18" s="87" t="s">
        <v>447</v>
      </c>
      <c r="B18" s="199">
        <f>-'[5](1)IBNR Cal13'!C29</f>
        <v>-4148.069670959347</v>
      </c>
      <c r="C18" s="199">
        <v>-1315.98</v>
      </c>
      <c r="D18" s="199">
        <f>B18-C18</f>
        <v>-2832.0896709593467</v>
      </c>
      <c r="E18" s="160"/>
      <c r="F18" s="161"/>
      <c r="G18" s="76" t="s">
        <v>109</v>
      </c>
      <c r="H18" s="76" t="s">
        <v>310</v>
      </c>
      <c r="I18" s="76">
        <f>K15</f>
        <v>664860.7953114785</v>
      </c>
      <c r="J18" s="84"/>
      <c r="K18" s="190"/>
      <c r="L18" s="230"/>
      <c r="M18" s="230"/>
      <c r="N18" s="230"/>
    </row>
    <row r="19" spans="1:14" ht="15.75">
      <c r="A19" s="89"/>
      <c r="B19" s="199"/>
      <c r="C19" s="200"/>
      <c r="D19" s="199"/>
      <c r="E19" s="160"/>
      <c r="F19" s="161"/>
      <c r="G19" s="76" t="s">
        <v>110</v>
      </c>
      <c r="H19" s="76" t="s">
        <v>311</v>
      </c>
      <c r="I19" s="76">
        <f>K16</f>
        <v>216633.17796003202</v>
      </c>
      <c r="J19" s="84"/>
      <c r="K19" s="190"/>
      <c r="L19" s="230"/>
      <c r="M19" s="230"/>
      <c r="N19" s="230"/>
    </row>
    <row r="20" spans="1:14" ht="15.75">
      <c r="A20" s="87" t="s">
        <v>131</v>
      </c>
      <c r="B20" s="201">
        <f>SUM(B16:B19)</f>
        <v>-1236284.34294247</v>
      </c>
      <c r="C20" s="201">
        <f>SUM(C16:C19)</f>
        <v>-351958.27999999997</v>
      </c>
      <c r="D20" s="201">
        <f>SUM(D16:D19)</f>
        <v>-884326.06294247</v>
      </c>
      <c r="E20" s="160"/>
      <c r="F20" s="161"/>
      <c r="G20" s="76" t="s">
        <v>111</v>
      </c>
      <c r="H20" s="76" t="s">
        <v>312</v>
      </c>
      <c r="I20" s="366">
        <f>K17</f>
        <v>2832.0896709593467</v>
      </c>
      <c r="J20" s="84"/>
      <c r="K20" s="190"/>
      <c r="L20" s="80"/>
      <c r="M20" s="80"/>
      <c r="N20" s="80"/>
    </row>
    <row r="21" spans="1:11" ht="16.5" thickBot="1">
      <c r="A21" s="89"/>
      <c r="B21" s="160"/>
      <c r="C21" s="162"/>
      <c r="D21" s="160"/>
      <c r="E21" s="87"/>
      <c r="F21" s="66" t="s">
        <v>484</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318</v>
      </c>
      <c r="B23" s="270">
        <f>B13+B20</f>
        <v>-1236284.34294247</v>
      </c>
      <c r="C23" s="270">
        <f>C13+C20</f>
        <v>-1366987.74</v>
      </c>
      <c r="D23" s="270">
        <f>D13+D20</f>
        <v>130703.39705753012</v>
      </c>
      <c r="E23" s="165"/>
      <c r="F23" s="66" t="s">
        <v>485</v>
      </c>
      <c r="G23" s="67" t="s">
        <v>313</v>
      </c>
      <c r="H23" s="10"/>
      <c r="I23" s="169"/>
      <c r="J23" s="169"/>
      <c r="K23" s="195"/>
    </row>
    <row r="24" spans="1:11" ht="16.5" thickTop="1">
      <c r="A24" s="87"/>
      <c r="B24" s="87" t="s">
        <v>300</v>
      </c>
      <c r="C24" s="367" t="s">
        <v>174</v>
      </c>
      <c r="D24" s="87"/>
      <c r="E24" s="90"/>
      <c r="F24" s="66" t="s">
        <v>316</v>
      </c>
      <c r="G24" s="67" t="s">
        <v>314</v>
      </c>
      <c r="H24" s="67"/>
      <c r="I24" s="169"/>
      <c r="J24" s="169"/>
      <c r="K24" s="195" t="s">
        <v>330</v>
      </c>
    </row>
    <row r="25" spans="1:11" ht="15.75">
      <c r="A25" s="2"/>
      <c r="B25" s="368" t="s">
        <v>164</v>
      </c>
      <c r="C25" s="368" t="s">
        <v>165</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479</v>
      </c>
      <c r="J29" s="196"/>
      <c r="K29" s="195"/>
    </row>
    <row r="30" spans="1:11" ht="15.75">
      <c r="A30" s="2"/>
      <c r="B30" s="90"/>
      <c r="C30" s="90"/>
      <c r="D30" s="90"/>
      <c r="E30" s="90"/>
      <c r="F30" s="66" t="s">
        <v>486</v>
      </c>
      <c r="G30" s="67" t="s">
        <v>134</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132</v>
      </c>
      <c r="G33" s="67" t="s">
        <v>49</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487</v>
      </c>
      <c r="G36" s="67" t="s">
        <v>133</v>
      </c>
      <c r="H36" s="67"/>
      <c r="I36" s="196"/>
      <c r="J36" s="196"/>
      <c r="K36" s="195"/>
    </row>
    <row r="37" spans="1:11" ht="15.75">
      <c r="A37" s="2"/>
      <c r="B37" s="2"/>
      <c r="C37" s="2"/>
      <c r="D37" s="2"/>
      <c r="E37" s="2"/>
      <c r="F37" s="161"/>
      <c r="H37" s="67"/>
      <c r="I37" s="196"/>
      <c r="J37" s="196" t="s">
        <v>490</v>
      </c>
      <c r="K37" s="353"/>
    </row>
    <row r="38" spans="1:11" ht="16.5" thickBot="1">
      <c r="A38" s="2"/>
      <c r="B38" s="2"/>
      <c r="C38" s="2"/>
      <c r="D38" s="2"/>
      <c r="E38" s="2"/>
      <c r="F38" s="73"/>
      <c r="G38" s="72"/>
      <c r="H38" s="72"/>
      <c r="I38" s="196"/>
      <c r="J38" s="196"/>
      <c r="K38" s="195"/>
    </row>
    <row r="39" spans="1:14" ht="16.5" thickBot="1">
      <c r="A39" s="2"/>
      <c r="B39" s="2"/>
      <c r="C39" s="2"/>
      <c r="D39" s="2"/>
      <c r="E39" s="2"/>
      <c r="F39" s="294" t="s">
        <v>489</v>
      </c>
      <c r="G39" s="72" t="s">
        <v>299</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sheetProtection/>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zoomScalePageLayoutView="0"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60" t="s">
        <v>320</v>
      </c>
      <c r="B1" s="960"/>
      <c r="C1" s="960"/>
      <c r="D1" s="960"/>
      <c r="E1" s="960"/>
      <c r="F1" s="960"/>
      <c r="G1" s="960"/>
      <c r="H1" s="1011" t="s">
        <v>476</v>
      </c>
      <c r="I1" s="1012"/>
      <c r="J1" s="1012"/>
      <c r="K1" s="1012"/>
      <c r="L1" s="1012"/>
      <c r="M1" s="1013"/>
      <c r="O1" s="224"/>
    </row>
    <row r="2" spans="1:15" s="18" customFormat="1" ht="18.75">
      <c r="A2" s="1016"/>
      <c r="B2" s="1016"/>
      <c r="C2" s="1016"/>
      <c r="D2" s="1016"/>
      <c r="E2" s="1016"/>
      <c r="F2" s="1016"/>
      <c r="G2" s="1016"/>
      <c r="H2" s="1014" t="s">
        <v>477</v>
      </c>
      <c r="I2" s="1010"/>
      <c r="J2" s="1010"/>
      <c r="K2" s="1010"/>
      <c r="L2" s="1010"/>
      <c r="M2" s="1015"/>
      <c r="O2" s="225"/>
    </row>
    <row r="3" spans="1:13" ht="12.75">
      <c r="A3" s="51"/>
      <c r="B3" s="52"/>
      <c r="C3" s="52"/>
      <c r="D3" s="205"/>
      <c r="E3" s="52"/>
      <c r="F3" s="52"/>
      <c r="G3" s="52"/>
      <c r="H3" s="66" t="s">
        <v>85</v>
      </c>
      <c r="I3" s="10" t="s">
        <v>52</v>
      </c>
      <c r="J3" s="10"/>
      <c r="K3" s="265"/>
      <c r="L3" s="179" t="s">
        <v>50</v>
      </c>
      <c r="M3" s="178" t="s">
        <v>54</v>
      </c>
    </row>
    <row r="4" spans="1:15" s="54" customFormat="1" ht="15.75">
      <c r="A4" s="1010" t="s">
        <v>258</v>
      </c>
      <c r="B4" s="1010"/>
      <c r="C4" s="1010"/>
      <c r="D4" s="1010"/>
      <c r="E4" s="1010"/>
      <c r="F4" s="1010"/>
      <c r="G4" s="1010"/>
      <c r="H4" s="66" t="s">
        <v>478</v>
      </c>
      <c r="I4" s="67"/>
      <c r="J4" s="67"/>
      <c r="K4" s="266"/>
      <c r="L4" s="179"/>
      <c r="M4" s="180"/>
      <c r="O4" s="226"/>
    </row>
    <row r="5" spans="1:16" s="54" customFormat="1" ht="15.75">
      <c r="A5" s="1010" t="s">
        <v>82</v>
      </c>
      <c r="B5" s="1010"/>
      <c r="C5" s="1010"/>
      <c r="D5" s="1010"/>
      <c r="E5" s="1010"/>
      <c r="F5" s="1010"/>
      <c r="G5" s="1010"/>
      <c r="H5" s="66" t="s">
        <v>479</v>
      </c>
      <c r="I5" s="67" t="s">
        <v>480</v>
      </c>
      <c r="J5" s="67" t="s">
        <v>481</v>
      </c>
      <c r="K5" s="266" t="s">
        <v>482</v>
      </c>
      <c r="L5" s="177"/>
      <c r="M5" s="180" t="s">
        <v>483</v>
      </c>
      <c r="O5" s="226"/>
      <c r="P5" s="226"/>
    </row>
    <row r="6" spans="1:16" ht="12.75">
      <c r="A6" s="55"/>
      <c r="B6" s="55"/>
      <c r="C6" s="55"/>
      <c r="D6" s="206"/>
      <c r="E6" s="55"/>
      <c r="F6" s="55"/>
      <c r="G6" s="55"/>
      <c r="H6" s="68"/>
      <c r="I6" s="69"/>
      <c r="J6" s="69"/>
      <c r="K6" s="267"/>
      <c r="L6" s="181"/>
      <c r="M6" s="182"/>
      <c r="O6" s="69"/>
      <c r="P6" s="69"/>
    </row>
    <row r="7" spans="1:16" ht="38.25">
      <c r="A7" s="56"/>
      <c r="B7" s="57" t="s">
        <v>37</v>
      </c>
      <c r="C7" s="57" t="s">
        <v>38</v>
      </c>
      <c r="D7" s="207" t="s">
        <v>39</v>
      </c>
      <c r="E7" s="57"/>
      <c r="F7" s="57" t="s">
        <v>268</v>
      </c>
      <c r="G7" s="57" t="s">
        <v>40</v>
      </c>
      <c r="H7" s="70">
        <v>37621</v>
      </c>
      <c r="I7" s="10" t="s">
        <v>45</v>
      </c>
      <c r="J7" s="10" t="s">
        <v>288</v>
      </c>
      <c r="K7" s="265">
        <f>+F23</f>
        <v>2206.52</v>
      </c>
      <c r="L7" s="181"/>
      <c r="M7" s="178"/>
      <c r="P7" s="223"/>
    </row>
    <row r="8" spans="1:13" ht="12.75" hidden="1">
      <c r="A8" s="10"/>
      <c r="B8" s="10"/>
      <c r="C8" s="10"/>
      <c r="D8" s="208"/>
      <c r="E8" s="58"/>
      <c r="F8" s="58"/>
      <c r="G8" s="58"/>
      <c r="H8" s="65"/>
      <c r="I8" s="10" t="s">
        <v>296</v>
      </c>
      <c r="J8" s="10" t="s">
        <v>288</v>
      </c>
      <c r="K8" s="265">
        <f>+F29</f>
        <v>55.86</v>
      </c>
      <c r="L8" s="181"/>
      <c r="M8" s="178"/>
    </row>
    <row r="9" spans="1:16" ht="12.75" hidden="1">
      <c r="A9" s="10"/>
      <c r="B9" s="64"/>
      <c r="C9" s="64"/>
      <c r="D9" s="208"/>
      <c r="E9" s="58"/>
      <c r="F9" s="58"/>
      <c r="G9" s="58"/>
      <c r="H9" s="65"/>
      <c r="I9" s="10" t="s">
        <v>290</v>
      </c>
      <c r="J9" s="10" t="s">
        <v>288</v>
      </c>
      <c r="K9" s="265">
        <f>+F35</f>
        <v>51079.75</v>
      </c>
      <c r="L9" s="181"/>
      <c r="M9" s="178"/>
      <c r="P9" s="223"/>
    </row>
    <row r="10" spans="1:13" ht="12.75" hidden="1">
      <c r="A10" s="59"/>
      <c r="B10" s="63"/>
      <c r="C10" s="63"/>
      <c r="D10" s="219"/>
      <c r="E10" s="60"/>
      <c r="F10" s="60"/>
      <c r="G10" s="60"/>
      <c r="H10" s="65"/>
      <c r="I10" s="10" t="s">
        <v>73</v>
      </c>
      <c r="J10" s="10" t="s">
        <v>288</v>
      </c>
      <c r="K10" s="265">
        <f>+F41</f>
        <v>60568.8</v>
      </c>
      <c r="L10" s="181"/>
      <c r="M10" s="178"/>
    </row>
    <row r="11" spans="1:16" ht="12.75" hidden="1">
      <c r="A11" s="10"/>
      <c r="B11" s="212"/>
      <c r="C11" s="271"/>
      <c r="D11" s="208"/>
      <c r="E11" s="204"/>
      <c r="F11" s="282"/>
      <c r="G11" s="212"/>
      <c r="H11" s="65"/>
      <c r="I11" s="10" t="s">
        <v>297</v>
      </c>
      <c r="J11" s="10" t="s">
        <v>289</v>
      </c>
      <c r="K11" s="265">
        <f>+F30</f>
        <v>0</v>
      </c>
      <c r="L11" s="181"/>
      <c r="M11" s="178"/>
      <c r="P11" s="223"/>
    </row>
    <row r="12" spans="1:16" ht="12.75" hidden="1">
      <c r="A12" s="10"/>
      <c r="B12" s="212"/>
      <c r="C12" s="271"/>
      <c r="D12" s="208"/>
      <c r="E12" s="204"/>
      <c r="F12" s="284"/>
      <c r="G12" s="212"/>
      <c r="H12" s="65"/>
      <c r="I12" s="10" t="s">
        <v>102</v>
      </c>
      <c r="J12" s="10" t="s">
        <v>289</v>
      </c>
      <c r="K12" s="265">
        <f>+F36</f>
        <v>2606.21</v>
      </c>
      <c r="L12" s="181"/>
      <c r="M12" s="178"/>
      <c r="P12" s="223"/>
    </row>
    <row r="13" spans="1:13" ht="12.75" hidden="1">
      <c r="A13" s="10"/>
      <c r="B13" s="212"/>
      <c r="C13" s="272"/>
      <c r="D13" s="208"/>
      <c r="E13" s="204"/>
      <c r="F13" s="284"/>
      <c r="G13" s="212"/>
      <c r="H13" s="65"/>
      <c r="I13" s="10" t="s">
        <v>74</v>
      </c>
      <c r="J13" s="10" t="s">
        <v>289</v>
      </c>
      <c r="K13" s="265">
        <f>+F42</f>
        <v>23392.86</v>
      </c>
      <c r="L13" s="181"/>
      <c r="M13" s="178"/>
    </row>
    <row r="14" spans="2:16" ht="12.75" hidden="1">
      <c r="B14" s="174"/>
      <c r="C14" s="273"/>
      <c r="D14" s="208"/>
      <c r="E14" s="214"/>
      <c r="F14" s="283"/>
      <c r="G14" s="214"/>
      <c r="H14" s="65"/>
      <c r="I14" s="10" t="s">
        <v>291</v>
      </c>
      <c r="J14" s="10" t="s">
        <v>264</v>
      </c>
      <c r="K14" s="265">
        <f>+F37</f>
        <v>0</v>
      </c>
      <c r="L14" s="234"/>
      <c r="M14" s="235"/>
      <c r="P14" s="223"/>
    </row>
    <row r="15" spans="2:13" ht="12.75">
      <c r="B15" s="175"/>
      <c r="C15" s="274"/>
      <c r="D15" s="219"/>
      <c r="E15" s="204"/>
      <c r="F15" s="277"/>
      <c r="G15" s="204"/>
      <c r="H15" s="65"/>
      <c r="I15" s="10"/>
      <c r="J15" s="10"/>
      <c r="K15" s="265"/>
      <c r="L15" s="181"/>
      <c r="M15" s="178"/>
    </row>
    <row r="16" spans="1:13" ht="12.75">
      <c r="A16" s="59" t="s">
        <v>306</v>
      </c>
      <c r="B16" s="175"/>
      <c r="C16" s="175"/>
      <c r="D16" s="219"/>
      <c r="E16" s="204"/>
      <c r="F16" s="277"/>
      <c r="G16" s="204"/>
      <c r="H16" s="65"/>
      <c r="I16" s="10"/>
      <c r="J16" s="10"/>
      <c r="K16" s="265"/>
      <c r="L16" s="181"/>
      <c r="M16" s="178"/>
    </row>
    <row r="17" spans="1:13" ht="12.75">
      <c r="A17" s="10" t="s">
        <v>41</v>
      </c>
      <c r="B17" s="212">
        <f>+'[5]TB3-31-04 (Pre)'!G469</f>
        <v>0</v>
      </c>
      <c r="C17" s="212">
        <f>SUM('[5]TB03-31-04(Final)'!F361:F364)</f>
        <v>0</v>
      </c>
      <c r="D17" s="751" t="e">
        <f>C17/C20</f>
        <v>#DIV/0!</v>
      </c>
      <c r="E17" s="204"/>
      <c r="F17" s="275" t="e">
        <f>SUM('[5]TB03-31-04(Final)'!F523:F524)</f>
        <v>#REF!</v>
      </c>
      <c r="G17" s="212" t="e">
        <f>+B17+F17</f>
        <v>#REF!</v>
      </c>
      <c r="H17" s="237" t="s">
        <v>83</v>
      </c>
      <c r="I17" s="10" t="s">
        <v>47</v>
      </c>
      <c r="J17" s="10" t="s">
        <v>48</v>
      </c>
      <c r="K17" s="265"/>
      <c r="L17" s="177"/>
      <c r="M17" s="178">
        <f>SUM(K7:K17)+0.01</f>
        <v>139910.01</v>
      </c>
    </row>
    <row r="18" spans="1:16" ht="12.75">
      <c r="A18" s="10" t="s">
        <v>42</v>
      </c>
      <c r="B18" s="212" t="e">
        <f>+'[5]TB03-31-04(Final)'!F469+'[5]TB03-31-04(Final)'!F470</f>
        <v>#REF!</v>
      </c>
      <c r="C18" s="212">
        <f>SUM('[5]TB03-31-04(Final)'!F370:F372)</f>
        <v>0</v>
      </c>
      <c r="D18" s="751" t="e">
        <f>C18/C20</f>
        <v>#DIV/0!</v>
      </c>
      <c r="E18" s="204"/>
      <c r="F18" s="275" t="e">
        <f>SUM('[5]TB03-31-04(Final)'!F530:F531)</f>
        <v>#REF!</v>
      </c>
      <c r="G18" s="212" t="e">
        <f>+B18+F18</f>
        <v>#REF!</v>
      </c>
      <c r="H18" s="237" t="s">
        <v>84</v>
      </c>
      <c r="I18" s="10"/>
      <c r="J18" s="10"/>
      <c r="K18" s="265"/>
      <c r="L18" s="177"/>
      <c r="M18" s="178"/>
      <c r="P18" s="223"/>
    </row>
    <row r="19" spans="1:13" ht="12.75">
      <c r="A19" s="10" t="s">
        <v>459</v>
      </c>
      <c r="B19" s="212">
        <v>0</v>
      </c>
      <c r="C19" s="213">
        <v>0</v>
      </c>
      <c r="D19" s="751" t="e">
        <f>C19/C20</f>
        <v>#DIV/0!</v>
      </c>
      <c r="E19" s="204"/>
      <c r="F19" s="275">
        <v>0</v>
      </c>
      <c r="G19" s="212">
        <v>0</v>
      </c>
      <c r="H19" s="65"/>
      <c r="I19" s="10"/>
      <c r="J19" s="10"/>
      <c r="K19" s="265"/>
      <c r="L19" s="177"/>
      <c r="M19" s="178"/>
    </row>
    <row r="20" spans="1:17" ht="13.5" thickBot="1">
      <c r="A20" s="8" t="s">
        <v>472</v>
      </c>
      <c r="B20" s="174" t="e">
        <f>SUM(B17:B19)</f>
        <v>#REF!</v>
      </c>
      <c r="C20" s="174">
        <f>SUM(C17:C19)</f>
        <v>0</v>
      </c>
      <c r="D20" s="749">
        <f>C20/$C$49</f>
        <v>0</v>
      </c>
      <c r="E20" s="214"/>
      <c r="F20" s="276" t="e">
        <f>SUM(F17:F19)</f>
        <v>#REF!</v>
      </c>
      <c r="G20" s="214" t="e">
        <f>SUM(G17:G19)</f>
        <v>#REF!</v>
      </c>
      <c r="H20" s="66" t="s">
        <v>484</v>
      </c>
      <c r="I20" s="10"/>
      <c r="J20" s="10"/>
      <c r="K20" s="280">
        <f>SUM(K7:K14)+0.01</f>
        <v>139910.01</v>
      </c>
      <c r="L20" s="183"/>
      <c r="M20" s="184">
        <f>SUM(M7:M19)</f>
        <v>139910.01</v>
      </c>
      <c r="N20" s="236"/>
      <c r="O20" s="233"/>
      <c r="P20" s="236"/>
      <c r="Q20" s="236">
        <f>SUM(P7:P18)</f>
        <v>0</v>
      </c>
    </row>
    <row r="21" spans="2:13" ht="13.5" thickTop="1">
      <c r="B21" s="175"/>
      <c r="C21" s="175"/>
      <c r="D21" s="752"/>
      <c r="E21" s="204"/>
      <c r="F21" s="277"/>
      <c r="G21" s="204"/>
      <c r="H21" s="65"/>
      <c r="I21" s="10"/>
      <c r="J21" s="10"/>
      <c r="K21" s="265"/>
      <c r="L21" s="177"/>
      <c r="M21" s="279">
        <f>+F53</f>
        <v>495387.39</v>
      </c>
    </row>
    <row r="22" spans="1:13" ht="12.75">
      <c r="A22" s="59">
        <v>2000</v>
      </c>
      <c r="B22" s="175"/>
      <c r="C22" s="175"/>
      <c r="D22" s="752"/>
      <c r="E22" s="204"/>
      <c r="F22" s="277"/>
      <c r="G22" s="204"/>
      <c r="H22" s="65"/>
      <c r="I22" s="10"/>
      <c r="J22" s="10"/>
      <c r="K22" s="265"/>
      <c r="L22" s="177"/>
      <c r="M22" s="178"/>
    </row>
    <row r="23" spans="1:15" ht="12.75">
      <c r="A23" s="10" t="s">
        <v>41</v>
      </c>
      <c r="B23" s="175">
        <f>+'[5]TB3-31-04 (Pre)'!F470</f>
        <v>980.5</v>
      </c>
      <c r="C23" s="212">
        <f>+'[5]TB3-31-04 (Pre)'!F362</f>
        <v>59250</v>
      </c>
      <c r="D23" s="749">
        <f>C23/C26</f>
        <v>1</v>
      </c>
      <c r="E23" s="204"/>
      <c r="F23" s="275">
        <f>+'[5]TB3-31-04 (Pre)'!F517</f>
        <v>2206.52</v>
      </c>
      <c r="G23" s="212">
        <f>B23+F23</f>
        <v>3187.02</v>
      </c>
      <c r="H23" s="66" t="s">
        <v>485</v>
      </c>
      <c r="I23" s="67" t="s">
        <v>265</v>
      </c>
      <c r="J23" s="67"/>
      <c r="K23" s="265"/>
      <c r="L23" s="177"/>
      <c r="M23" s="178" t="s">
        <v>330</v>
      </c>
      <c r="O23" s="53"/>
    </row>
    <row r="24" spans="1:16" ht="12.75">
      <c r="A24" s="10" t="s">
        <v>42</v>
      </c>
      <c r="B24" s="212">
        <f>+'[5]TB03-31-04(Final)'!F471</f>
        <v>0</v>
      </c>
      <c r="C24" s="212">
        <f>+'[5]TB3-31-04 (Pre)'!F370</f>
        <v>0</v>
      </c>
      <c r="D24" s="749">
        <f>C24/C26</f>
        <v>0</v>
      </c>
      <c r="E24" s="204"/>
      <c r="F24" s="275">
        <f>+'[5]TB03-31-04(Final)'!F532</f>
        <v>0</v>
      </c>
      <c r="G24" s="212">
        <f>B24+F24</f>
        <v>0</v>
      </c>
      <c r="H24" s="66" t="s">
        <v>51</v>
      </c>
      <c r="I24" s="67" t="s">
        <v>53</v>
      </c>
      <c r="J24" s="67"/>
      <c r="K24" s="265"/>
      <c r="L24" s="177"/>
      <c r="M24" s="178"/>
      <c r="O24" s="228"/>
      <c r="P24" s="229"/>
    </row>
    <row r="25" spans="1:16" ht="12.75">
      <c r="A25" s="10" t="s">
        <v>459</v>
      </c>
      <c r="B25" s="212">
        <f>+'[5]TB03-31-04(Final)'!D486</f>
        <v>-374.81</v>
      </c>
      <c r="C25" s="212">
        <v>0</v>
      </c>
      <c r="D25" s="749">
        <f>C25/C26</f>
        <v>0</v>
      </c>
      <c r="E25" s="204"/>
      <c r="F25" s="275">
        <v>0</v>
      </c>
      <c r="G25" s="212">
        <f>F25+B25</f>
        <v>-374.81</v>
      </c>
      <c r="H25" s="65"/>
      <c r="I25" s="71"/>
      <c r="J25" s="10"/>
      <c r="K25" s="265"/>
      <c r="L25" s="177"/>
      <c r="M25" s="178"/>
      <c r="O25" s="228"/>
      <c r="P25" s="229"/>
    </row>
    <row r="26" spans="1:15" ht="13.5" thickBot="1">
      <c r="A26" s="8" t="s">
        <v>472</v>
      </c>
      <c r="B26" s="174">
        <f>SUM(B23:B25)</f>
        <v>605.69</v>
      </c>
      <c r="C26" s="174">
        <f>SUM(C23:C25)</f>
        <v>59250</v>
      </c>
      <c r="D26" s="749">
        <f>C26/$C$49</f>
        <v>0.015765811858006993</v>
      </c>
      <c r="E26" s="214"/>
      <c r="F26" s="276">
        <f>SUM(F23:F25)</f>
        <v>2206.52</v>
      </c>
      <c r="G26" s="214">
        <f>SUM(G23:G25)</f>
        <v>2812.21</v>
      </c>
      <c r="H26" s="66" t="s">
        <v>486</v>
      </c>
      <c r="I26" s="72"/>
      <c r="J26" s="72"/>
      <c r="K26" s="265"/>
      <c r="L26" s="177"/>
      <c r="M26" s="178"/>
      <c r="O26" s="53"/>
    </row>
    <row r="27" spans="2:13" ht="12.75">
      <c r="B27" s="175"/>
      <c r="C27" s="175"/>
      <c r="D27" s="752"/>
      <c r="E27" s="204"/>
      <c r="F27" s="277"/>
      <c r="G27" s="204"/>
      <c r="H27" s="66"/>
      <c r="I27" s="67" t="s">
        <v>262</v>
      </c>
      <c r="J27" s="67"/>
      <c r="K27" s="265"/>
      <c r="L27" s="177"/>
      <c r="M27" s="178"/>
    </row>
    <row r="28" spans="1:13" ht="12.75">
      <c r="A28" s="59">
        <v>2001</v>
      </c>
      <c r="B28" s="175"/>
      <c r="C28" s="175"/>
      <c r="D28" s="752"/>
      <c r="E28" s="204"/>
      <c r="F28" s="277"/>
      <c r="G28" s="204"/>
      <c r="H28" s="66"/>
      <c r="I28" s="67"/>
      <c r="J28" s="67"/>
      <c r="K28" s="265"/>
      <c r="L28" s="177"/>
      <c r="M28" s="178"/>
    </row>
    <row r="29" spans="1:13" ht="13.5" thickBot="1">
      <c r="A29" s="10" t="s">
        <v>41</v>
      </c>
      <c r="B29" s="175">
        <f>+'[5]TB3-31-04 (Pre)'!F471</f>
        <v>728.14</v>
      </c>
      <c r="C29" s="212">
        <f>+'[5]TB3-31-04 (Pre)'!F363</f>
        <v>1500</v>
      </c>
      <c r="D29" s="749">
        <f>C29/C32</f>
        <v>1</v>
      </c>
      <c r="E29" s="204"/>
      <c r="F29" s="275">
        <f>+'[5]TB3-31-04 (Pre)'!F518</f>
        <v>55.86</v>
      </c>
      <c r="G29" s="212">
        <f>B29+F29</f>
        <v>784</v>
      </c>
      <c r="H29" s="66" t="s">
        <v>132</v>
      </c>
      <c r="I29" s="72"/>
      <c r="J29" s="72"/>
      <c r="K29" s="266" t="s">
        <v>479</v>
      </c>
      <c r="L29" s="179"/>
      <c r="M29" s="178"/>
    </row>
    <row r="30" spans="1:13" ht="12.75">
      <c r="A30" s="10" t="s">
        <v>42</v>
      </c>
      <c r="B30" s="212">
        <f>+'[5]TB3-31-04 (Pre)'!F478</f>
        <v>254</v>
      </c>
      <c r="C30" s="212">
        <f>+'[5]TB3-31-04 (Pre)'!F371</f>
        <v>0</v>
      </c>
      <c r="D30" s="749">
        <f>C30/C32</f>
        <v>0</v>
      </c>
      <c r="E30" s="204"/>
      <c r="F30" s="275">
        <f>+'[5]TB3-31-04 (Pre)'!F525</f>
        <v>0</v>
      </c>
      <c r="G30" s="212">
        <f>B30+F30</f>
        <v>254</v>
      </c>
      <c r="H30" s="66"/>
      <c r="I30" s="67" t="s">
        <v>49</v>
      </c>
      <c r="J30" s="67"/>
      <c r="K30" s="266"/>
      <c r="L30" s="179"/>
      <c r="M30" s="178"/>
    </row>
    <row r="31" spans="1:13" ht="12.75">
      <c r="A31" s="10" t="s">
        <v>459</v>
      </c>
      <c r="B31" s="213">
        <v>0</v>
      </c>
      <c r="C31" s="213">
        <v>0</v>
      </c>
      <c r="D31" s="749">
        <f>C31/C32</f>
        <v>0</v>
      </c>
      <c r="E31" s="204"/>
      <c r="F31" s="275">
        <f>+'[5]TB03-31-04(Final)'!F548</f>
        <v>1047.62</v>
      </c>
      <c r="G31" s="212">
        <f>F31+B31</f>
        <v>1047.62</v>
      </c>
      <c r="H31" s="66"/>
      <c r="I31" s="67"/>
      <c r="J31" s="67"/>
      <c r="K31" s="266"/>
      <c r="L31" s="179"/>
      <c r="M31" s="178"/>
    </row>
    <row r="32" spans="1:13" ht="13.5" thickBot="1">
      <c r="A32" s="8" t="s">
        <v>472</v>
      </c>
      <c r="B32" s="174">
        <f>SUM(B29:B31)</f>
        <v>982.14</v>
      </c>
      <c r="C32" s="174">
        <f>SUM(C29:C31)</f>
        <v>1500</v>
      </c>
      <c r="D32" s="749">
        <f>C32/$C$49</f>
        <v>0.00039913447741789855</v>
      </c>
      <c r="E32" s="214"/>
      <c r="F32" s="276">
        <f>SUM(F29:F31)</f>
        <v>1103.4799999999998</v>
      </c>
      <c r="G32" s="214">
        <f>SUM(G29:G31)</f>
        <v>2085.62</v>
      </c>
      <c r="H32" s="66" t="s">
        <v>487</v>
      </c>
      <c r="I32" s="72"/>
      <c r="J32" s="72"/>
      <c r="K32" s="266"/>
      <c r="L32" s="179"/>
      <c r="M32" s="178"/>
    </row>
    <row r="33" spans="2:13" ht="12.75">
      <c r="B33" s="175"/>
      <c r="C33" s="175"/>
      <c r="D33" s="752"/>
      <c r="E33" s="204"/>
      <c r="F33" s="277"/>
      <c r="G33" s="204"/>
      <c r="H33" s="66"/>
      <c r="I33" s="67" t="s">
        <v>488</v>
      </c>
      <c r="J33" s="67"/>
      <c r="K33" s="266"/>
      <c r="L33" s="179"/>
      <c r="M33" s="178"/>
    </row>
    <row r="34" spans="1:13" ht="12.75">
      <c r="A34" s="59">
        <v>2002</v>
      </c>
      <c r="B34" s="175"/>
      <c r="C34" s="175"/>
      <c r="D34" s="752"/>
      <c r="E34" s="204"/>
      <c r="F34" s="277"/>
      <c r="G34" s="204"/>
      <c r="H34" s="66"/>
      <c r="I34" s="67"/>
      <c r="J34" s="67"/>
      <c r="K34" s="266"/>
      <c r="L34" s="179" t="s">
        <v>490</v>
      </c>
      <c r="M34" s="178"/>
    </row>
    <row r="35" spans="1:13" ht="13.5" thickBot="1">
      <c r="A35" s="10" t="s">
        <v>41</v>
      </c>
      <c r="B35" s="175">
        <f>+'[5]TB3-31-04 (Pre)'!F472</f>
        <v>40871.79</v>
      </c>
      <c r="C35" s="212">
        <f>+'[5]TB3-31-04 (Pre)'!F364</f>
        <v>1371608.06</v>
      </c>
      <c r="D35" s="749">
        <f>C35/C38</f>
        <v>0.9514546164884548</v>
      </c>
      <c r="E35" s="215"/>
      <c r="F35" s="275">
        <f>+'[5]TB3-31-04 (Pre)'!F519</f>
        <v>51079.75</v>
      </c>
      <c r="G35" s="212">
        <f>B35+F35</f>
        <v>91951.54000000001</v>
      </c>
      <c r="H35" s="66" t="s">
        <v>489</v>
      </c>
      <c r="I35" s="72"/>
      <c r="J35" s="72"/>
      <c r="K35" s="266"/>
      <c r="L35" s="179"/>
      <c r="M35" s="178"/>
    </row>
    <row r="36" spans="1:13" ht="13.5" thickBot="1">
      <c r="A36" s="10" t="s">
        <v>42</v>
      </c>
      <c r="B36" s="212">
        <f>+'[5]TB3-31-04 (Pre)'!F479</f>
        <v>36651.02</v>
      </c>
      <c r="C36" s="212">
        <f>+'[5]TB3-31-04 (Pre)'!F372</f>
        <v>69982.57</v>
      </c>
      <c r="D36" s="749">
        <f>C36/C38</f>
        <v>0.04854538351154516</v>
      </c>
      <c r="E36" s="215"/>
      <c r="F36" s="275">
        <f>+'[5]TB3-31-04 (Pre)'!F526</f>
        <v>2606.21</v>
      </c>
      <c r="G36" s="212">
        <f>B36+F36</f>
        <v>39257.229999999996</v>
      </c>
      <c r="H36" s="73"/>
      <c r="I36" s="72" t="s">
        <v>299</v>
      </c>
      <c r="J36" s="72"/>
      <c r="K36" s="268"/>
      <c r="L36" s="185"/>
      <c r="M36" s="186"/>
    </row>
    <row r="37" spans="1:10" ht="12.75">
      <c r="A37" s="10" t="s">
        <v>459</v>
      </c>
      <c r="B37" s="213">
        <f>+'[5]TB03-31-04(Final)'!F479</f>
        <v>0</v>
      </c>
      <c r="C37" s="213">
        <f>+'[5]TB3-31-04 (Pre)'!F379</f>
        <v>0</v>
      </c>
      <c r="D37" s="749">
        <f>C37/C38</f>
        <v>0</v>
      </c>
      <c r="E37" s="215"/>
      <c r="F37" s="275">
        <f>+'[5]TB03-31-04(Final)'!F540</f>
        <v>0</v>
      </c>
      <c r="G37" s="212">
        <f>F37+B37</f>
        <v>0</v>
      </c>
      <c r="H37" s="8"/>
      <c r="I37" s="8"/>
      <c r="J37" s="8"/>
    </row>
    <row r="38" spans="1:10" ht="12.75">
      <c r="A38" s="8" t="s">
        <v>472</v>
      </c>
      <c r="B38" s="174">
        <f>SUM(B35:B37)</f>
        <v>77522.81</v>
      </c>
      <c r="C38" s="174">
        <f>SUM(C35:C37)</f>
        <v>1441590.6300000001</v>
      </c>
      <c r="D38" s="749">
        <f>C38/$C$49</f>
        <v>0.38359234850372614</v>
      </c>
      <c r="E38" s="216"/>
      <c r="F38" s="276">
        <f>SUM(F35:F37)</f>
        <v>53685.96</v>
      </c>
      <c r="G38" s="214">
        <f>SUM(G35:G37)</f>
        <v>131208.77000000002</v>
      </c>
      <c r="H38" s="8"/>
      <c r="I38" s="8"/>
      <c r="J38" s="8"/>
    </row>
    <row r="39" spans="2:10" ht="12.75">
      <c r="B39" s="173"/>
      <c r="C39" s="173"/>
      <c r="D39" s="749"/>
      <c r="E39" s="296"/>
      <c r="F39" s="275"/>
      <c r="G39" s="212"/>
      <c r="H39" s="8"/>
      <c r="I39" s="8"/>
      <c r="J39" s="8"/>
    </row>
    <row r="40" spans="1:15" s="136" customFormat="1" ht="12.75">
      <c r="A40" s="59">
        <v>2003</v>
      </c>
      <c r="B40" s="175"/>
      <c r="C40" s="175"/>
      <c r="D40" s="752"/>
      <c r="E40" s="204"/>
      <c r="F40" s="277"/>
      <c r="G40" s="204"/>
      <c r="H40" s="8"/>
      <c r="I40" s="8"/>
      <c r="J40" s="8"/>
      <c r="K40" s="142"/>
      <c r="L40" s="187"/>
      <c r="M40" s="187"/>
      <c r="O40" s="227"/>
    </row>
    <row r="41" spans="1:15" s="136" customFormat="1" ht="12.75">
      <c r="A41" s="10" t="s">
        <v>41</v>
      </c>
      <c r="B41" s="175">
        <f>+'[5]TB3-31-04 (Pre)'!F473</f>
        <v>87858.67</v>
      </c>
      <c r="C41" s="212">
        <f>+'[5]TB3-31-04 (Pre)'!F365</f>
        <v>1626410.46</v>
      </c>
      <c r="D41" s="749">
        <f>C41/C44</f>
        <v>0.7209933397914958</v>
      </c>
      <c r="E41" s="215"/>
      <c r="F41" s="275">
        <f>+'[5]TB3-31-04 (Pre)'!F520</f>
        <v>60568.8</v>
      </c>
      <c r="G41" s="212">
        <f>B41+F41</f>
        <v>148427.47</v>
      </c>
      <c r="H41" s="94"/>
      <c r="I41" s="94"/>
      <c r="J41" s="94"/>
      <c r="K41" s="281"/>
      <c r="L41" s="188"/>
      <c r="M41" s="188"/>
      <c r="O41" s="227"/>
    </row>
    <row r="42" spans="1:15" s="136" customFormat="1" ht="12.75">
      <c r="A42" s="10" t="s">
        <v>42</v>
      </c>
      <c r="B42" s="212">
        <f>+'[5]TB3-31-04 (Pre)'!F480</f>
        <v>122270.13</v>
      </c>
      <c r="C42" s="212">
        <f>+'[5]TB3-31-04 (Pre)'!F373</f>
        <v>628151.78</v>
      </c>
      <c r="D42" s="749">
        <f>C42/C44</f>
        <v>0.2784618402897956</v>
      </c>
      <c r="E42" s="215"/>
      <c r="F42" s="275">
        <f>+'[5]TB3-31-04 (Pre)'!F527</f>
        <v>23392.86</v>
      </c>
      <c r="G42" s="212">
        <f>B42+F42</f>
        <v>145662.99</v>
      </c>
      <c r="H42" s="94"/>
      <c r="I42" s="94"/>
      <c r="J42" s="94"/>
      <c r="K42" s="281"/>
      <c r="L42" s="188"/>
      <c r="M42" s="188"/>
      <c r="O42" s="227"/>
    </row>
    <row r="43" spans="1:15" s="136" customFormat="1" ht="12.75">
      <c r="A43" s="10" t="s">
        <v>459</v>
      </c>
      <c r="B43" s="213">
        <v>0</v>
      </c>
      <c r="C43" s="213">
        <f>+'[5]TB3-31-04 (Pre)'!F380</f>
        <v>1229</v>
      </c>
      <c r="D43" s="749">
        <f>C43/C44</f>
        <v>0.000544819918708435</v>
      </c>
      <c r="E43" s="215"/>
      <c r="F43" s="275">
        <f>+'[5]TB3-31-04 (Pre)'!F533</f>
        <v>45.77</v>
      </c>
      <c r="G43" s="212">
        <f>F43+B43</f>
        <v>45.77</v>
      </c>
      <c r="H43" s="94"/>
      <c r="I43" s="94"/>
      <c r="J43" s="94"/>
      <c r="K43" s="281"/>
      <c r="L43" s="188"/>
      <c r="M43" s="188"/>
      <c r="O43" s="227"/>
    </row>
    <row r="44" spans="1:13" ht="12.75">
      <c r="A44" s="8" t="s">
        <v>472</v>
      </c>
      <c r="B44" s="174">
        <f>SUM(B41:B43)</f>
        <v>210128.8</v>
      </c>
      <c r="C44" s="174">
        <f>SUM(C41:C43)</f>
        <v>2255791.24</v>
      </c>
      <c r="D44" s="749">
        <f>C44/$C$49</f>
        <v>0.600242705160849</v>
      </c>
      <c r="E44" s="216"/>
      <c r="F44" s="276">
        <f>SUM(F41:F43)</f>
        <v>84007.43000000001</v>
      </c>
      <c r="G44" s="214">
        <f>SUM(G41:G43)</f>
        <v>294136.23</v>
      </c>
      <c r="H44" s="94"/>
      <c r="I44" s="94"/>
      <c r="J44" s="94"/>
      <c r="K44" s="281"/>
      <c r="L44" s="188"/>
      <c r="M44" s="188"/>
    </row>
    <row r="45" spans="1:10" ht="12.75">
      <c r="A45" s="61" t="s">
        <v>43</v>
      </c>
      <c r="B45" s="175"/>
      <c r="C45" s="175"/>
      <c r="D45" s="752"/>
      <c r="E45" s="204"/>
      <c r="F45" s="277"/>
      <c r="G45" s="204"/>
      <c r="H45" s="8"/>
      <c r="I45" s="8"/>
      <c r="J45" s="8"/>
    </row>
    <row r="46" spans="1:7" ht="12.75">
      <c r="A46" s="67" t="s">
        <v>41</v>
      </c>
      <c r="B46" s="217">
        <f aca="true" t="shared" si="0" ref="B46:C48">+B11+B17+B23+B29+B35+B41</f>
        <v>130439.1</v>
      </c>
      <c r="C46" s="217">
        <f t="shared" si="0"/>
        <v>3058768.52</v>
      </c>
      <c r="D46" s="750">
        <f>C46/C49</f>
        <v>0.813906649848346</v>
      </c>
      <c r="E46" s="217"/>
      <c r="F46" s="298" t="e">
        <f>+F17+F23+F29+F35+F41</f>
        <v>#REF!</v>
      </c>
      <c r="G46" s="217" t="e">
        <f>B46+F46</f>
        <v>#REF!</v>
      </c>
    </row>
    <row r="47" spans="1:7" ht="12.75">
      <c r="A47" s="67" t="s">
        <v>42</v>
      </c>
      <c r="B47" s="217" t="e">
        <f t="shared" si="0"/>
        <v>#REF!</v>
      </c>
      <c r="C47" s="217">
        <f t="shared" si="0"/>
        <v>698134.3500000001</v>
      </c>
      <c r="D47" s="750">
        <f>C47/C49</f>
        <v>0.1857663259698229</v>
      </c>
      <c r="E47" s="217"/>
      <c r="F47" s="278" t="e">
        <f>+F18+F24+F30+F36+F42</f>
        <v>#REF!</v>
      </c>
      <c r="G47" s="217" t="e">
        <f>B47+F47</f>
        <v>#REF!</v>
      </c>
    </row>
    <row r="48" spans="1:7" ht="12.75">
      <c r="A48" s="67" t="s">
        <v>459</v>
      </c>
      <c r="B48" s="217">
        <f t="shared" si="0"/>
        <v>-374.81</v>
      </c>
      <c r="C48" s="217">
        <f t="shared" si="0"/>
        <v>1229</v>
      </c>
      <c r="D48" s="750">
        <f>C48/C49</f>
        <v>0.0003270241818310649</v>
      </c>
      <c r="E48" s="217"/>
      <c r="F48" s="278">
        <f>+F43+F37+F31+F25+F19</f>
        <v>1093.3899999999999</v>
      </c>
      <c r="G48" s="217">
        <f>B48+F48</f>
        <v>718.5799999999999</v>
      </c>
    </row>
    <row r="49" spans="1:7" ht="13.5" thickBot="1">
      <c r="A49" s="94" t="s">
        <v>472</v>
      </c>
      <c r="B49" s="305" t="e">
        <f>SUM(B46:B48)</f>
        <v>#REF!</v>
      </c>
      <c r="C49" s="305">
        <f>SUM(C46:C48)</f>
        <v>3758131.87</v>
      </c>
      <c r="D49" s="750">
        <f>C49/$C$49</f>
        <v>1</v>
      </c>
      <c r="E49" s="305"/>
      <c r="F49" s="306" t="e">
        <f>SUM(F46:F48)</f>
        <v>#REF!</v>
      </c>
      <c r="G49" s="305" t="e">
        <f>B49+F49</f>
        <v>#REF!</v>
      </c>
    </row>
    <row r="50" spans="1:15" s="578" customFormat="1" ht="13.5" thickTop="1">
      <c r="A50" s="574" t="s">
        <v>263</v>
      </c>
      <c r="B50" s="575">
        <f>+'[5]TB03-31-04(Final)'!G486</f>
        <v>292907.87</v>
      </c>
      <c r="C50" s="575">
        <f>+'[5]TB03-31-04(Final)'!G384</f>
        <v>3791762.3499999996</v>
      </c>
      <c r="D50" s="576"/>
      <c r="E50" s="577"/>
      <c r="F50" s="577">
        <f>+'[5]TB03-31-04(Final)'!G547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115</v>
      </c>
      <c r="B52" s="300"/>
      <c r="C52" s="300"/>
      <c r="D52" s="209"/>
      <c r="E52" s="175"/>
      <c r="F52" s="218"/>
      <c r="G52" s="175"/>
    </row>
    <row r="53" spans="1:7" ht="25.5">
      <c r="A53" s="62" t="s">
        <v>44</v>
      </c>
      <c r="B53" s="176"/>
      <c r="C53" s="176"/>
      <c r="D53" s="210"/>
      <c r="E53" s="204"/>
      <c r="F53" s="297">
        <v>495387.39</v>
      </c>
      <c r="G53" s="204"/>
    </row>
    <row r="55" spans="1:6" ht="12.75">
      <c r="A55" s="118" t="s">
        <v>259</v>
      </c>
      <c r="B55" s="123">
        <v>51200</v>
      </c>
      <c r="C55" s="124">
        <v>51100</v>
      </c>
      <c r="D55" s="220"/>
      <c r="E55" s="125"/>
      <c r="F55" s="125" t="s">
        <v>261</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sheetProtection/>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zoomScalePageLayoutView="0"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17" t="s">
        <v>150</v>
      </c>
      <c r="B2" s="1017"/>
      <c r="C2" s="1017"/>
      <c r="D2" s="1017"/>
      <c r="E2" s="1017"/>
      <c r="F2" s="1017"/>
      <c r="G2" s="1017"/>
      <c r="H2" s="1017"/>
      <c r="I2" s="1017"/>
      <c r="J2" s="1017"/>
    </row>
    <row r="3" spans="1:7" ht="19.5" customHeight="1">
      <c r="A3" s="243"/>
      <c r="B3" s="244"/>
      <c r="C3" s="244"/>
      <c r="E3" s="244"/>
      <c r="F3" s="244"/>
      <c r="G3" s="244"/>
    </row>
    <row r="4" spans="1:10" ht="19.5" customHeight="1">
      <c r="A4" s="1018" t="s">
        <v>151</v>
      </c>
      <c r="B4" s="1018"/>
      <c r="C4" s="1018"/>
      <c r="D4" s="1018"/>
      <c r="E4" s="1018"/>
      <c r="F4" s="1018"/>
      <c r="G4" s="1018"/>
      <c r="H4" s="1018"/>
      <c r="I4" s="1018"/>
      <c r="J4" s="1018"/>
    </row>
    <row r="5" ht="19.5" customHeight="1">
      <c r="B5" s="9"/>
    </row>
    <row r="6" spans="2:10" ht="19.5" customHeight="1">
      <c r="B6" s="1019" t="s">
        <v>495</v>
      </c>
      <c r="C6" s="1019"/>
      <c r="D6" s="1019"/>
      <c r="E6" s="6"/>
      <c r="F6" s="6"/>
      <c r="G6" s="6"/>
      <c r="H6" s="141" t="s">
        <v>496</v>
      </c>
      <c r="I6" s="141"/>
      <c r="J6" s="140"/>
    </row>
    <row r="7" spans="2:10" ht="19.5" customHeight="1" thickBot="1">
      <c r="B7" s="1020" t="s">
        <v>152</v>
      </c>
      <c r="C7" s="1020"/>
      <c r="D7" s="1020"/>
      <c r="E7" s="248"/>
      <c r="F7" s="248"/>
      <c r="G7" s="248"/>
      <c r="H7" s="1020" t="s">
        <v>152</v>
      </c>
      <c r="I7" s="1020"/>
      <c r="J7" s="1020"/>
    </row>
    <row r="8" spans="2:10" ht="19.5" customHeight="1" thickBot="1">
      <c r="B8" s="245">
        <v>2002</v>
      </c>
      <c r="C8" s="139"/>
      <c r="D8" s="245">
        <v>2001</v>
      </c>
      <c r="E8" s="139"/>
      <c r="F8" s="359" t="s">
        <v>287</v>
      </c>
      <c r="G8" s="139"/>
      <c r="H8" s="245">
        <v>2002</v>
      </c>
      <c r="I8" s="139"/>
      <c r="J8" s="245">
        <v>2001</v>
      </c>
    </row>
    <row r="9" spans="1:9" ht="19.5" customHeight="1">
      <c r="A9" s="14"/>
      <c r="B9" s="112"/>
      <c r="C9" s="112"/>
      <c r="D9" s="14"/>
      <c r="E9" s="130"/>
      <c r="F9" s="130"/>
      <c r="G9" s="130"/>
      <c r="I9" s="45"/>
    </row>
    <row r="10" spans="1:10" ht="19.5" customHeight="1">
      <c r="A10" s="95" t="s">
        <v>153</v>
      </c>
      <c r="B10" s="131">
        <f>-'[5]TB03-31-04(Final)'!E317</f>
        <v>5676242</v>
      </c>
      <c r="C10" s="131"/>
      <c r="D10" s="131">
        <f>+'[10]Highlights (pg 1)'!$B$10</f>
        <v>4280821</v>
      </c>
      <c r="E10" s="131"/>
      <c r="F10" s="361">
        <f>(+B10-D10)/D10</f>
        <v>0.3259704154880571</v>
      </c>
      <c r="G10" s="131"/>
      <c r="H10" s="131">
        <f>-'[5]TB03-31-04(Final)'!G317</f>
        <v>5676242</v>
      </c>
      <c r="I10" s="131"/>
      <c r="J10" s="131">
        <f>+'[10]Highlights (pg 1)'!$F$10</f>
        <v>16190670</v>
      </c>
    </row>
    <row r="11" spans="1:10" ht="19.5" customHeight="1">
      <c r="A11" s="95"/>
      <c r="B11" s="112"/>
      <c r="C11" s="112"/>
      <c r="D11" s="112"/>
      <c r="E11" s="112"/>
      <c r="F11" s="360"/>
      <c r="G11" s="112"/>
      <c r="H11" s="112"/>
      <c r="I11" s="14"/>
      <c r="J11" s="112"/>
    </row>
    <row r="12" spans="1:10" ht="19.5" customHeight="1">
      <c r="A12" s="95" t="s">
        <v>154</v>
      </c>
      <c r="B12" s="112">
        <f>-'[5]TB03-31-04(Final)'!E338</f>
        <v>5376116</v>
      </c>
      <c r="C12" s="112"/>
      <c r="D12" s="112">
        <f>+'[10]Highlights (pg 1)'!$B$12</f>
        <v>4133399</v>
      </c>
      <c r="E12" s="112"/>
      <c r="F12" s="361">
        <f>(+B12-D12)/D12</f>
        <v>0.30065256221332615</v>
      </c>
      <c r="G12" s="112"/>
      <c r="H12" s="112">
        <f>-'[5]TB03-31-04(Final)'!G338</f>
        <v>5376116</v>
      </c>
      <c r="I12" s="112"/>
      <c r="J12" s="112">
        <f>+'[10]Highlights (pg 1)'!$F$12</f>
        <v>16708714</v>
      </c>
    </row>
    <row r="13" spans="1:10" ht="19.5" customHeight="1">
      <c r="A13" s="95"/>
      <c r="B13" s="112"/>
      <c r="C13" s="112"/>
      <c r="D13" s="112"/>
      <c r="E13" s="112"/>
      <c r="F13" s="360"/>
      <c r="G13" s="112"/>
      <c r="H13" s="112"/>
      <c r="I13" s="14"/>
      <c r="J13" s="112"/>
    </row>
    <row r="14" spans="1:10" ht="19.5" customHeight="1">
      <c r="A14" s="95" t="s">
        <v>155</v>
      </c>
      <c r="B14" s="112">
        <f>+'[5]TB03-31-04(Final)'!E462</f>
        <v>4105799.4900000007</v>
      </c>
      <c r="C14" s="112"/>
      <c r="D14" s="112">
        <f>+'[10]Highlights (pg 1)'!$B$14</f>
        <v>2779701.7999999993</v>
      </c>
      <c r="E14" s="112"/>
      <c r="F14" s="361">
        <f>(+B14-D14)/D14</f>
        <v>0.477064730468571</v>
      </c>
      <c r="G14" s="112"/>
      <c r="H14" s="112">
        <f>+'[5]TB03-31-04(Final)'!G462</f>
        <v>4105799.4900000007</v>
      </c>
      <c r="I14" s="112"/>
      <c r="J14" s="112">
        <f>+'[10]Highlights (pg 1)'!$F$14</f>
        <v>14011900.985</v>
      </c>
    </row>
    <row r="15" spans="1:10" ht="19.5" customHeight="1">
      <c r="A15" s="95"/>
      <c r="B15" s="112"/>
      <c r="C15" s="112"/>
      <c r="D15" s="112"/>
      <c r="E15" s="112"/>
      <c r="F15" s="360"/>
      <c r="G15" s="112"/>
      <c r="H15" s="112"/>
      <c r="I15" s="14"/>
      <c r="J15" s="112"/>
    </row>
    <row r="16" spans="1:10" ht="19.5" customHeight="1">
      <c r="A16" s="95" t="s">
        <v>156</v>
      </c>
      <c r="B16" s="112">
        <f>+'[5]TB03-31-04(Final)'!E578</f>
        <v>474152.5300000001</v>
      </c>
      <c r="C16" s="112"/>
      <c r="D16" s="112">
        <f>+'[10]Highlights (pg 1)'!$B$16</f>
        <v>359851.97759499995</v>
      </c>
      <c r="E16" s="112"/>
      <c r="F16" s="361">
        <f>(+B16-D16)/D16</f>
        <v>0.3176321363270127</v>
      </c>
      <c r="G16" s="112"/>
      <c r="H16" s="112">
        <f>+'[5]TB03-31-04(Final)'!G578</f>
        <v>474152.5300000001</v>
      </c>
      <c r="I16" s="112"/>
      <c r="J16" s="112">
        <f>+'[10]Highlights (pg 1)'!$F$16</f>
        <v>1458256.25543</v>
      </c>
    </row>
    <row r="17" spans="1:10" ht="19.5" customHeight="1">
      <c r="A17" s="95"/>
      <c r="B17" s="112"/>
      <c r="C17" s="112"/>
      <c r="D17" s="112"/>
      <c r="E17" s="112"/>
      <c r="F17" s="360"/>
      <c r="G17" s="112"/>
      <c r="H17" s="112"/>
      <c r="I17" s="14"/>
      <c r="J17" s="112"/>
    </row>
    <row r="18" spans="1:10" ht="19.5" customHeight="1">
      <c r="A18" s="95" t="s">
        <v>157</v>
      </c>
      <c r="B18" s="112">
        <f>+'[5]TB03-31-04(Final)'!E648+'[5]TB03-31-04(Final)'!E1005</f>
        <v>1100075.5799999996</v>
      </c>
      <c r="C18" s="112"/>
      <c r="D18" s="112">
        <f>+'[10]Highlights (pg 1)'!$B$18</f>
        <v>1236377.2000000002</v>
      </c>
      <c r="E18" s="112"/>
      <c r="F18" s="361">
        <f>(+B18-D18)/D18</f>
        <v>-0.11024274792514821</v>
      </c>
      <c r="G18" s="112"/>
      <c r="H18" s="112">
        <f>+'[5]TB03-31-04(Final)'!G648+'[5]TB03-31-04(Final)'!G1005</f>
        <v>1628632.9299999997</v>
      </c>
      <c r="I18" s="112"/>
      <c r="J18" s="112">
        <f>+'[10]Highlights (pg 1)'!$F$18</f>
        <v>5361056.619999999</v>
      </c>
    </row>
    <row r="19" spans="1:10" ht="19.5" customHeight="1">
      <c r="A19" s="95"/>
      <c r="B19" s="112"/>
      <c r="C19" s="112"/>
      <c r="D19" s="112"/>
      <c r="E19" s="112"/>
      <c r="F19" s="360"/>
      <c r="G19" s="112"/>
      <c r="H19" s="112"/>
      <c r="I19" s="14"/>
      <c r="J19" s="112"/>
    </row>
    <row r="20" spans="1:10" ht="19.5" customHeight="1">
      <c r="A20" s="95" t="s">
        <v>325</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158</v>
      </c>
      <c r="B22" s="112">
        <f>-'[5]TB03-31-04(Final)'!E357</f>
        <v>29500.729999999996</v>
      </c>
      <c r="C22" s="112"/>
      <c r="D22" s="131">
        <f>+'[10]Highlights (pg 1)'!$B$22</f>
        <v>51020.619999999995</v>
      </c>
      <c r="E22" s="112"/>
      <c r="F22" s="361">
        <f>(+B22-D22)/D22</f>
        <v>-0.421788092735839</v>
      </c>
      <c r="G22" s="112"/>
      <c r="H22" s="112">
        <f>-'[5]TB03-31-04(Final)'!G357</f>
        <v>29500.729999999996</v>
      </c>
      <c r="I22" s="112"/>
      <c r="J22" s="112">
        <f>+'[10]Highlights (pg 1)'!$F$22</f>
        <v>406576.29999999993</v>
      </c>
    </row>
    <row r="23" spans="1:10" ht="19.5" customHeight="1">
      <c r="A23" s="95"/>
      <c r="B23" s="112"/>
      <c r="C23" s="112"/>
      <c r="D23" s="112"/>
      <c r="E23" s="112"/>
      <c r="F23" s="360"/>
      <c r="G23" s="112"/>
      <c r="H23" s="112"/>
      <c r="I23" s="14"/>
      <c r="J23" s="112"/>
    </row>
    <row r="24" spans="1:10" ht="19.5" customHeight="1">
      <c r="A24" s="95" t="s">
        <v>214</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159</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160</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161</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sheetProtection/>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zoomScalePageLayoutView="0"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2" customWidth="1"/>
    <col min="7" max="7" width="11.7109375" style="0" hidden="1" customWidth="1"/>
    <col min="8" max="8" width="12.57421875" style="0" hidden="1" customWidth="1"/>
    <col min="9" max="9" width="12.28125" style="0" hidden="1" customWidth="1"/>
    <col min="10" max="10" width="14.00390625" style="681" hidden="1" customWidth="1"/>
    <col min="11" max="11" width="15.00390625" style="681" hidden="1" customWidth="1"/>
    <col min="12" max="12" width="13.8515625" style="682" customWidth="1"/>
    <col min="13" max="15" width="9.140625" style="0" hidden="1" customWidth="1"/>
    <col min="16" max="16" width="14.28125" style="0" hidden="1" customWidth="1"/>
    <col min="17" max="17" width="12.28125" style="0" hidden="1" customWidth="1"/>
    <col min="18" max="18" width="13.140625" style="0" customWidth="1"/>
    <col min="19" max="19" width="10.57421875" style="697" customWidth="1"/>
    <col min="20" max="20" width="35.7109375" style="0" customWidth="1"/>
  </cols>
  <sheetData>
    <row r="1" spans="1:20" s="50" customFormat="1" ht="22.5" customHeight="1">
      <c r="A1" s="960" t="s">
        <v>320</v>
      </c>
      <c r="B1" s="960"/>
      <c r="C1" s="960"/>
      <c r="D1" s="960"/>
      <c r="E1" s="960"/>
      <c r="F1" s="960"/>
      <c r="G1" s="960"/>
      <c r="H1" s="960"/>
      <c r="I1" s="960"/>
      <c r="J1" s="960"/>
      <c r="K1" s="960"/>
      <c r="L1" s="960"/>
      <c r="M1" s="960"/>
      <c r="N1" s="960"/>
      <c r="O1" s="960"/>
      <c r="P1" s="960"/>
      <c r="Q1" s="960"/>
      <c r="R1" s="960"/>
      <c r="S1" s="960"/>
      <c r="T1" s="960"/>
    </row>
    <row r="2" ht="7.5" customHeight="1"/>
    <row r="3" spans="1:20" ht="19.5">
      <c r="A3" s="960" t="s">
        <v>187</v>
      </c>
      <c r="B3" s="960"/>
      <c r="C3" s="960"/>
      <c r="D3" s="960"/>
      <c r="E3" s="960"/>
      <c r="F3" s="960"/>
      <c r="G3" s="960"/>
      <c r="H3" s="960"/>
      <c r="I3" s="960"/>
      <c r="J3" s="960"/>
      <c r="K3" s="960"/>
      <c r="L3" s="960"/>
      <c r="M3" s="960"/>
      <c r="N3" s="960"/>
      <c r="O3" s="960"/>
      <c r="P3" s="960"/>
      <c r="Q3" s="960"/>
      <c r="R3" s="960"/>
      <c r="S3" s="960"/>
      <c r="T3" s="960"/>
    </row>
    <row r="4" spans="2:9" ht="8.25" customHeight="1">
      <c r="B4" s="642"/>
      <c r="C4" s="648"/>
      <c r="D4" s="642"/>
      <c r="E4" s="642"/>
      <c r="F4" s="648"/>
      <c r="G4" s="642"/>
      <c r="H4" s="642"/>
      <c r="I4" s="642"/>
    </row>
    <row r="5" spans="1:20" ht="19.5">
      <c r="A5" s="960" t="s">
        <v>78</v>
      </c>
      <c r="B5" s="960"/>
      <c r="C5" s="960"/>
      <c r="D5" s="960"/>
      <c r="E5" s="960"/>
      <c r="F5" s="960"/>
      <c r="G5" s="960"/>
      <c r="H5" s="960"/>
      <c r="I5" s="960"/>
      <c r="J5" s="960"/>
      <c r="K5" s="960"/>
      <c r="L5" s="960"/>
      <c r="M5" s="960"/>
      <c r="N5" s="960"/>
      <c r="O5" s="960"/>
      <c r="P5" s="960"/>
      <c r="Q5" s="960"/>
      <c r="R5" s="960"/>
      <c r="S5" s="960"/>
      <c r="T5" s="960"/>
    </row>
    <row r="6" spans="7:9" ht="12.75">
      <c r="G6" s="962" t="s">
        <v>301</v>
      </c>
      <c r="H6" s="962"/>
      <c r="I6" s="962"/>
    </row>
    <row r="7" spans="4:17" ht="12.75">
      <c r="D7" s="961" t="s">
        <v>204</v>
      </c>
      <c r="E7" s="961"/>
      <c r="F7" s="961"/>
      <c r="J7" s="961" t="s">
        <v>183</v>
      </c>
      <c r="K7" s="961"/>
      <c r="L7" s="961"/>
      <c r="M7" s="961"/>
      <c r="N7" s="961"/>
      <c r="O7" s="961"/>
      <c r="P7" s="961"/>
      <c r="Q7" s="961"/>
    </row>
    <row r="8" spans="4:18" ht="12.75">
      <c r="D8" s="661" t="s">
        <v>232</v>
      </c>
      <c r="E8" s="665" t="s">
        <v>233</v>
      </c>
      <c r="F8" s="961" t="s">
        <v>184</v>
      </c>
      <c r="G8" s="961"/>
      <c r="H8" s="961"/>
      <c r="I8" s="961"/>
      <c r="J8" s="961"/>
      <c r="K8" s="961"/>
      <c r="L8" s="961"/>
      <c r="P8" s="665"/>
      <c r="Q8" s="665"/>
      <c r="R8" s="665" t="s">
        <v>403</v>
      </c>
    </row>
    <row r="9" spans="2:20" ht="13.5" thickBot="1">
      <c r="B9" s="666" t="s">
        <v>80</v>
      </c>
      <c r="C9" s="656"/>
      <c r="D9" s="664" t="s">
        <v>231</v>
      </c>
      <c r="E9" s="666" t="s">
        <v>231</v>
      </c>
      <c r="F9" s="959" t="s">
        <v>75</v>
      </c>
      <c r="G9" s="959" t="s">
        <v>231</v>
      </c>
      <c r="H9" s="959" t="s">
        <v>231</v>
      </c>
      <c r="I9" s="959"/>
      <c r="J9" s="959" t="s">
        <v>231</v>
      </c>
      <c r="K9" s="959" t="s">
        <v>231</v>
      </c>
      <c r="L9" s="666" t="s">
        <v>76</v>
      </c>
      <c r="P9" s="666"/>
      <c r="Q9" s="653"/>
      <c r="R9" s="666" t="s">
        <v>137</v>
      </c>
      <c r="S9" s="692" t="s">
        <v>89</v>
      </c>
      <c r="T9" s="666" t="s">
        <v>90</v>
      </c>
    </row>
    <row r="10" spans="2:19" ht="12.75">
      <c r="B10" s="661"/>
      <c r="I10" s="358"/>
      <c r="S10" s="699"/>
    </row>
    <row r="11" spans="1:19" ht="12.75">
      <c r="A11" t="s">
        <v>387</v>
      </c>
      <c r="B11" s="661" t="s">
        <v>234</v>
      </c>
      <c r="C11" s="658"/>
      <c r="D11" s="659">
        <f>+'[5]TB03-31-04(Final)'!Z578+'[5]TB03-31-04(Final)'!E1004</f>
        <v>4438743.83</v>
      </c>
      <c r="E11" s="659">
        <v>0</v>
      </c>
      <c r="F11" s="742">
        <f>SUM(D11:E11)</f>
        <v>4438743.83</v>
      </c>
      <c r="G11" s="743"/>
      <c r="H11" s="743"/>
      <c r="I11" s="743">
        <f aca="true" t="shared" si="0" ref="I11:I28">SUM(G11:H11)</f>
        <v>0</v>
      </c>
      <c r="J11" s="744">
        <f>+'[6]TB09-30-02(Final)'!$I$511+'[6]TB09-30-02(Final)'!$E$911</f>
        <v>3977400.389999999</v>
      </c>
      <c r="K11" s="744"/>
      <c r="L11" s="742">
        <f>+J11+K11</f>
        <v>3977400.389999999</v>
      </c>
      <c r="M11" s="745"/>
      <c r="N11" s="745"/>
      <c r="O11" s="745"/>
      <c r="P11" s="745"/>
      <c r="Q11" s="745">
        <f>SUM(J11:P11)</f>
        <v>7954800.779999998</v>
      </c>
      <c r="R11" s="724">
        <f>+F11-L11</f>
        <v>461343.4400000009</v>
      </c>
      <c r="S11" s="696">
        <f>R11/L11</f>
        <v>0.11599119896501066</v>
      </c>
    </row>
    <row r="12" spans="2:19" ht="12.75">
      <c r="B12" s="661"/>
      <c r="C12" s="658"/>
      <c r="D12" s="659"/>
      <c r="E12" s="659"/>
      <c r="F12" s="672"/>
      <c r="G12" s="673"/>
      <c r="H12" s="673"/>
      <c r="I12" s="674"/>
      <c r="L12" s="672"/>
      <c r="Q12" s="655"/>
      <c r="R12" s="661"/>
      <c r="S12" s="696"/>
    </row>
    <row r="13" spans="2:19" ht="12.75">
      <c r="B13" s="661" t="s">
        <v>185</v>
      </c>
      <c r="C13" s="658"/>
      <c r="D13" s="659"/>
      <c r="E13" s="659"/>
      <c r="F13" s="672"/>
      <c r="G13" s="673"/>
      <c r="H13" s="673"/>
      <c r="I13" s="674"/>
      <c r="L13" s="672"/>
      <c r="Q13" s="655"/>
      <c r="R13" s="661"/>
      <c r="S13" s="696"/>
    </row>
    <row r="14" spans="2:19" ht="12.75">
      <c r="B14" s="661"/>
      <c r="C14" s="659"/>
      <c r="D14" s="659"/>
      <c r="E14" s="659"/>
      <c r="F14" s="672"/>
      <c r="G14" s="673"/>
      <c r="H14" s="673"/>
      <c r="I14" s="674"/>
      <c r="L14" s="672"/>
      <c r="Q14" s="655">
        <f aca="true" t="shared" si="1" ref="Q14:Q54">SUM(J14:P14)</f>
        <v>0</v>
      </c>
      <c r="R14" s="661"/>
      <c r="S14" s="696"/>
    </row>
    <row r="15" spans="1:20" ht="12.75">
      <c r="A15" t="s">
        <v>388</v>
      </c>
      <c r="B15" s="661" t="s">
        <v>163</v>
      </c>
      <c r="C15" s="658"/>
      <c r="D15" s="659">
        <v>0</v>
      </c>
      <c r="E15" s="659">
        <f>+'[5]TB03-31-04(Final)'!E630</f>
        <v>521247.75000000006</v>
      </c>
      <c r="F15" s="672">
        <f>SUM(D15:E15)</f>
        <v>521247.75000000006</v>
      </c>
      <c r="G15" s="673"/>
      <c r="H15" s="673"/>
      <c r="I15" s="674">
        <f t="shared" si="0"/>
        <v>0</v>
      </c>
      <c r="K15" s="681">
        <f>+'[6]TB09-30-02(Final)'!$E$551</f>
        <v>404349.55000000005</v>
      </c>
      <c r="L15" s="672">
        <f aca="true" t="shared" si="2" ref="L15:L54">+J15+K15</f>
        <v>404349.55000000005</v>
      </c>
      <c r="Q15" s="655">
        <f t="shared" si="1"/>
        <v>808699.1000000001</v>
      </c>
      <c r="R15" s="661">
        <f aca="true" t="shared" si="3" ref="R15:R65">+F15-L15</f>
        <v>116898.20000000001</v>
      </c>
      <c r="S15" s="696">
        <f>R15/L15</f>
        <v>0.2891018427002083</v>
      </c>
      <c r="T15" t="s">
        <v>286</v>
      </c>
    </row>
    <row r="16" spans="2:19" ht="12.75">
      <c r="B16" s="661"/>
      <c r="C16" s="658"/>
      <c r="D16" s="659"/>
      <c r="E16" s="659"/>
      <c r="F16" s="672"/>
      <c r="G16" s="673"/>
      <c r="H16" s="673"/>
      <c r="I16" s="674"/>
      <c r="L16" s="672"/>
      <c r="Q16" s="655">
        <f t="shared" si="1"/>
        <v>0</v>
      </c>
      <c r="R16" s="661"/>
      <c r="S16" s="696"/>
    </row>
    <row r="17" spans="1:19" ht="12.75">
      <c r="A17" t="s">
        <v>389</v>
      </c>
      <c r="B17" s="661" t="s">
        <v>235</v>
      </c>
      <c r="C17" s="658"/>
      <c r="D17" s="659">
        <v>0</v>
      </c>
      <c r="E17" s="659">
        <v>0</v>
      </c>
      <c r="F17" s="672">
        <f>SUM(D17:E17)</f>
        <v>0</v>
      </c>
      <c r="G17" s="673"/>
      <c r="H17" s="673"/>
      <c r="I17" s="674">
        <f t="shared" si="0"/>
        <v>0</v>
      </c>
      <c r="L17" s="672">
        <f t="shared" si="2"/>
        <v>0</v>
      </c>
      <c r="Q17" s="655">
        <f t="shared" si="1"/>
        <v>0</v>
      </c>
      <c r="R17" s="661">
        <f t="shared" si="3"/>
        <v>0</v>
      </c>
      <c r="S17" s="696"/>
    </row>
    <row r="18" spans="2:19" ht="12.75">
      <c r="B18" s="661"/>
      <c r="C18" s="658"/>
      <c r="D18" s="659"/>
      <c r="E18" s="659"/>
      <c r="F18" s="672"/>
      <c r="G18" s="673"/>
      <c r="H18" s="673"/>
      <c r="I18" s="674"/>
      <c r="L18" s="672"/>
      <c r="Q18" s="655">
        <f t="shared" si="1"/>
        <v>0</v>
      </c>
      <c r="R18" s="661"/>
      <c r="S18" s="696"/>
    </row>
    <row r="19" spans="1:19" ht="12.75">
      <c r="A19" t="s">
        <v>390</v>
      </c>
      <c r="B19" s="661" t="s">
        <v>236</v>
      </c>
      <c r="C19" s="658"/>
      <c r="D19" s="659"/>
      <c r="E19" s="659">
        <f>+'[5]TB03-31-04(Final)'!E639</f>
        <v>3506.25</v>
      </c>
      <c r="F19" s="672">
        <f>SUM(D19:E19)</f>
        <v>3506.25</v>
      </c>
      <c r="G19" s="673"/>
      <c r="H19" s="673"/>
      <c r="I19" s="674">
        <f t="shared" si="0"/>
        <v>0</v>
      </c>
      <c r="K19" s="681">
        <f>+'[6]TB09-30-02(Final)'!$E$559</f>
        <v>4125</v>
      </c>
      <c r="L19" s="672">
        <f t="shared" si="2"/>
        <v>4125</v>
      </c>
      <c r="Q19" s="655">
        <f t="shared" si="1"/>
        <v>8250</v>
      </c>
      <c r="R19" s="661">
        <f t="shared" si="3"/>
        <v>-618.75</v>
      </c>
      <c r="S19" s="696">
        <f>R19/L19</f>
        <v>-0.15</v>
      </c>
    </row>
    <row r="21" spans="1:20" ht="12.75">
      <c r="A21" t="s">
        <v>391</v>
      </c>
      <c r="B21" s="661" t="s">
        <v>189</v>
      </c>
      <c r="C21" s="658"/>
      <c r="D21" s="659">
        <v>0</v>
      </c>
      <c r="E21" s="659">
        <v>0</v>
      </c>
      <c r="F21" s="672">
        <f>SUM(D21:E21)</f>
        <v>0</v>
      </c>
      <c r="G21" s="673"/>
      <c r="H21" s="673"/>
      <c r="I21" s="674"/>
      <c r="K21" s="681">
        <f>+'[6]TB09-30-02(Final)'!$E$555</f>
        <v>14250</v>
      </c>
      <c r="L21" s="672">
        <f>+J21+K21</f>
        <v>14250</v>
      </c>
      <c r="Q21" s="655">
        <f>SUM(J21:P21)</f>
        <v>28500</v>
      </c>
      <c r="R21" s="661">
        <f>+F21-L21</f>
        <v>-14250</v>
      </c>
      <c r="S21" s="696">
        <f>R21/L21</f>
        <v>-1</v>
      </c>
      <c r="T21" t="s">
        <v>188</v>
      </c>
    </row>
    <row r="22" spans="2:19" ht="12.75">
      <c r="B22" s="661" t="s">
        <v>190</v>
      </c>
      <c r="C22" s="658"/>
      <c r="D22" s="659"/>
      <c r="E22" s="659"/>
      <c r="F22" s="672">
        <f>SUM(D23:E23)</f>
        <v>93073.73</v>
      </c>
      <c r="G22" s="673"/>
      <c r="H22" s="673"/>
      <c r="I22" s="674">
        <f>SUM(G22:H22)</f>
        <v>0</v>
      </c>
      <c r="K22" s="681">
        <f>'[6]TB09-30-02(Final)'!$E$565</f>
        <v>72119.22</v>
      </c>
      <c r="L22" s="672">
        <f>+J22+K22</f>
        <v>72119.22</v>
      </c>
      <c r="Q22" s="655">
        <f>SUM(J22:P22)</f>
        <v>144238.44</v>
      </c>
      <c r="R22" s="661">
        <f>+F22-L22</f>
        <v>20954.509999999995</v>
      </c>
      <c r="S22" s="696">
        <f>R22/L22</f>
        <v>0.2905537525225591</v>
      </c>
    </row>
    <row r="23" spans="3:5" ht="12.75">
      <c r="C23" s="658"/>
      <c r="D23" s="659">
        <f>+'[5]TB03-31-04(Final)'!D633</f>
        <v>104.64</v>
      </c>
      <c r="E23" s="659">
        <f>+'[5]TB03-31-04(Final)'!E647</f>
        <v>92969.09</v>
      </c>
    </row>
    <row r="24" spans="2:19" ht="12.75">
      <c r="B24" s="661"/>
      <c r="C24" s="658"/>
      <c r="D24" s="659"/>
      <c r="E24" s="659"/>
      <c r="F24" s="672"/>
      <c r="G24" s="673"/>
      <c r="H24" s="673"/>
      <c r="I24" s="674">
        <f t="shared" si="0"/>
        <v>0</v>
      </c>
      <c r="L24" s="672"/>
      <c r="Q24" s="655">
        <f t="shared" si="1"/>
        <v>0</v>
      </c>
      <c r="R24" s="661"/>
      <c r="S24" s="696"/>
    </row>
    <row r="25" spans="1:20" ht="12.75">
      <c r="A25" t="s">
        <v>392</v>
      </c>
      <c r="B25" s="661" t="s">
        <v>96</v>
      </c>
      <c r="C25" s="658">
        <v>542.61</v>
      </c>
      <c r="D25" s="659">
        <f>+'[5]TB03-31-04(Final)'!Z765</f>
        <v>642.87</v>
      </c>
      <c r="E25" s="659">
        <f>+'[5]TB03-31-04(Final)'!Z768</f>
        <v>4352.13</v>
      </c>
      <c r="F25" s="672">
        <f>SUM(D25:E25)</f>
        <v>4995</v>
      </c>
      <c r="G25" s="673"/>
      <c r="H25" s="673"/>
      <c r="I25" s="674">
        <f t="shared" si="0"/>
        <v>0</v>
      </c>
      <c r="J25" s="683">
        <v>-9625.77</v>
      </c>
      <c r="K25" s="681">
        <f>+'[6]TB09-30-02(Final)'!$E$678-J25</f>
        <v>-67442.04</v>
      </c>
      <c r="L25" s="672">
        <f t="shared" si="2"/>
        <v>-77067.81</v>
      </c>
      <c r="Q25" s="655">
        <f t="shared" si="1"/>
        <v>-154135.62</v>
      </c>
      <c r="R25" s="661">
        <f t="shared" si="3"/>
        <v>82062.81</v>
      </c>
      <c r="S25" s="696">
        <f>R25/L25</f>
        <v>-1.0648130522977104</v>
      </c>
      <c r="T25" t="s">
        <v>198</v>
      </c>
    </row>
    <row r="26" spans="2:19" ht="12.75">
      <c r="B26" s="661"/>
      <c r="C26" s="658"/>
      <c r="D26" s="659"/>
      <c r="E26" s="659"/>
      <c r="F26" s="672"/>
      <c r="G26" s="673"/>
      <c r="H26" s="673"/>
      <c r="I26" s="674">
        <f t="shared" si="0"/>
        <v>0</v>
      </c>
      <c r="J26" s="683"/>
      <c r="L26" s="672">
        <f t="shared" si="2"/>
        <v>0</v>
      </c>
      <c r="Q26" s="655">
        <f t="shared" si="1"/>
        <v>0</v>
      </c>
      <c r="R26" s="661">
        <f t="shared" si="3"/>
        <v>0</v>
      </c>
      <c r="S26" s="696"/>
    </row>
    <row r="27" spans="1:19" ht="12.75">
      <c r="A27" t="s">
        <v>393</v>
      </c>
      <c r="B27" s="661" t="s">
        <v>237</v>
      </c>
      <c r="C27" s="658"/>
      <c r="D27" s="659"/>
      <c r="E27" s="659"/>
      <c r="F27" s="672">
        <f>SUM(D27:E27)</f>
        <v>0</v>
      </c>
      <c r="G27" s="673"/>
      <c r="H27" s="673"/>
      <c r="I27" s="674">
        <f t="shared" si="0"/>
        <v>0</v>
      </c>
      <c r="J27" s="683"/>
      <c r="L27" s="672">
        <f t="shared" si="2"/>
        <v>0</v>
      </c>
      <c r="Q27" s="655">
        <f t="shared" si="1"/>
        <v>0</v>
      </c>
      <c r="R27" s="661">
        <f t="shared" si="3"/>
        <v>0</v>
      </c>
      <c r="S27" s="696"/>
    </row>
    <row r="28" spans="2:19" ht="12.75">
      <c r="B28" s="659" t="s">
        <v>238</v>
      </c>
      <c r="C28" s="658">
        <v>52540.85</v>
      </c>
      <c r="D28" s="659">
        <f>+'[5]TB03-31-04(Final)'!D654</f>
        <v>64199.27</v>
      </c>
      <c r="E28" s="659">
        <f>+'[5]TB03-31-04(Final)'!E657-D28</f>
        <v>442443.3300000001</v>
      </c>
      <c r="F28" s="672">
        <f>SUM(D28:E28)</f>
        <v>506642.6000000001</v>
      </c>
      <c r="G28" s="673"/>
      <c r="H28" s="673"/>
      <c r="I28" s="674">
        <f t="shared" si="0"/>
        <v>0</v>
      </c>
      <c r="J28" s="683">
        <f>+'[6]TB09-30-02(Final)'!$D$572</f>
        <v>60915.6</v>
      </c>
      <c r="K28" s="681">
        <f>+'[6]TB09-30-02(Final)'!$E$575-J28</f>
        <v>433011.91</v>
      </c>
      <c r="L28" s="672">
        <f t="shared" si="2"/>
        <v>493927.50999999995</v>
      </c>
      <c r="Q28" s="655">
        <f t="shared" si="1"/>
        <v>987855.0199999999</v>
      </c>
      <c r="R28" s="661">
        <f t="shared" si="3"/>
        <v>12715.090000000142</v>
      </c>
      <c r="S28" s="696">
        <f>R28/L28</f>
        <v>0.025742826108228197</v>
      </c>
    </row>
    <row r="29" spans="2:19" ht="12.75">
      <c r="B29" s="659" t="s">
        <v>239</v>
      </c>
      <c r="C29" s="658">
        <f>3911.93+556.52+147.7-0.79</f>
        <v>4615.36</v>
      </c>
      <c r="D29" s="659">
        <f>+'[5]TB03-31-04(Final)'!Z760</f>
        <v>6232.78</v>
      </c>
      <c r="E29" s="659">
        <f>+'[5]TB03-31-04(Final)'!Z761-D29</f>
        <v>43720.38000000001</v>
      </c>
      <c r="F29" s="672">
        <f>SUM(D29:E29)</f>
        <v>49953.16000000001</v>
      </c>
      <c r="G29" s="673"/>
      <c r="H29" s="673"/>
      <c r="I29" s="674"/>
      <c r="J29" s="683">
        <f>4560.4+633.08+166.63+5.08+7.99</f>
        <v>5373.179999999999</v>
      </c>
      <c r="K29" s="681">
        <f>SUM('[6]TB09-30-02(Final)'!$E$631:$E$670)-J29</f>
        <v>36787.85</v>
      </c>
      <c r="L29" s="672">
        <f t="shared" si="2"/>
        <v>42161.03</v>
      </c>
      <c r="Q29" s="655">
        <f t="shared" si="1"/>
        <v>84322.06</v>
      </c>
      <c r="R29" s="661">
        <f t="shared" si="3"/>
        <v>7792.130000000012</v>
      </c>
      <c r="S29" s="696">
        <f>R29/L29</f>
        <v>0.18481830258890763</v>
      </c>
    </row>
    <row r="30" spans="2:19" ht="12.75">
      <c r="B30" s="661"/>
      <c r="C30" s="658"/>
      <c r="D30" s="659"/>
      <c r="E30" s="659"/>
      <c r="F30" s="672">
        <f>SUM(D30:E30)</f>
        <v>0</v>
      </c>
      <c r="G30" s="673"/>
      <c r="H30" s="673"/>
      <c r="I30" s="674"/>
      <c r="J30" s="683"/>
      <c r="L30" s="672">
        <f t="shared" si="2"/>
        <v>0</v>
      </c>
      <c r="Q30" s="655">
        <f t="shared" si="1"/>
        <v>0</v>
      </c>
      <c r="R30" s="661">
        <f t="shared" si="3"/>
        <v>0</v>
      </c>
      <c r="S30" s="696"/>
    </row>
    <row r="31" spans="1:20" ht="12.75">
      <c r="A31" t="s">
        <v>394</v>
      </c>
      <c r="B31" s="661" t="s">
        <v>494</v>
      </c>
      <c r="C31" s="658">
        <f>248.53+79.86+13823.98+583+3163.07+9266.34</f>
        <v>27164.78</v>
      </c>
      <c r="D31" s="659">
        <f>+'[5]TB03-31-04(Final)'!Z720</f>
        <v>34486.11</v>
      </c>
      <c r="E31" s="659">
        <f>+'[5]TB03-31-04(Final)'!Z721-'[5]TB03-31-04(Final)'!Z720</f>
        <v>244292.7</v>
      </c>
      <c r="F31" s="672">
        <f>SUM(D31:E31)</f>
        <v>278778.81</v>
      </c>
      <c r="G31" s="673"/>
      <c r="H31" s="673"/>
      <c r="I31" s="674"/>
      <c r="J31" s="683">
        <f>253.57+92.43+12124.74+539.42+3593.13+2822.87</f>
        <v>19426.16</v>
      </c>
      <c r="K31" s="681">
        <f>SUM('[6]TB09-30-02(Final)'!$E$581:$E$630)-J31</f>
        <v>140199.27</v>
      </c>
      <c r="L31" s="672">
        <f t="shared" si="2"/>
        <v>159625.43</v>
      </c>
      <c r="Q31" s="655">
        <f t="shared" si="1"/>
        <v>319250.86</v>
      </c>
      <c r="R31" s="661">
        <f t="shared" si="3"/>
        <v>119153.38</v>
      </c>
      <c r="S31" s="696">
        <f>R31/L31</f>
        <v>0.7464561254431704</v>
      </c>
      <c r="T31" s="358">
        <v>137024.19</v>
      </c>
    </row>
    <row r="32" spans="2:20" ht="12.75">
      <c r="B32" s="659" t="s">
        <v>136</v>
      </c>
      <c r="C32" s="658"/>
      <c r="D32" s="659"/>
      <c r="E32" s="659"/>
      <c r="F32" s="672"/>
      <c r="G32" s="673"/>
      <c r="H32" s="673"/>
      <c r="I32" s="674"/>
      <c r="J32" s="683"/>
      <c r="L32" s="672">
        <f t="shared" si="2"/>
        <v>0</v>
      </c>
      <c r="Q32" s="655">
        <f t="shared" si="1"/>
        <v>0</v>
      </c>
      <c r="R32" s="661">
        <f t="shared" si="3"/>
        <v>0</v>
      </c>
      <c r="S32" s="696"/>
      <c r="T32" s="358">
        <v>22601.24</v>
      </c>
    </row>
    <row r="33" spans="2:20" ht="12.75">
      <c r="B33" s="659" t="s">
        <v>135</v>
      </c>
      <c r="C33" s="658"/>
      <c r="D33" s="659"/>
      <c r="E33" s="659"/>
      <c r="F33" s="672"/>
      <c r="G33" s="673"/>
      <c r="H33" s="673"/>
      <c r="I33" s="674"/>
      <c r="J33" s="683"/>
      <c r="L33" s="672">
        <f t="shared" si="2"/>
        <v>0</v>
      </c>
      <c r="Q33" s="655">
        <f t="shared" si="1"/>
        <v>0</v>
      </c>
      <c r="R33" s="661">
        <f t="shared" si="3"/>
        <v>0</v>
      </c>
      <c r="S33" s="696"/>
      <c r="T33" s="358">
        <v>0</v>
      </c>
    </row>
    <row r="34" spans="2:20" ht="12.75">
      <c r="B34" s="661"/>
      <c r="C34" s="658"/>
      <c r="D34" s="659"/>
      <c r="E34" s="659"/>
      <c r="F34" s="672"/>
      <c r="G34" s="673"/>
      <c r="H34" s="673"/>
      <c r="I34" s="674"/>
      <c r="J34" s="683"/>
      <c r="L34" s="672"/>
      <c r="Q34" s="655">
        <f t="shared" si="1"/>
        <v>0</v>
      </c>
      <c r="R34" s="661"/>
      <c r="S34" s="696"/>
      <c r="T34" t="s">
        <v>195</v>
      </c>
    </row>
    <row r="35" spans="1:20" ht="12.75">
      <c r="A35" t="s">
        <v>395</v>
      </c>
      <c r="B35" s="661" t="s">
        <v>213</v>
      </c>
      <c r="C35" s="658"/>
      <c r="D35" s="659">
        <f>+'[5]TB03-31-04(Final)'!Z963</f>
        <v>0</v>
      </c>
      <c r="E35" s="659">
        <f>+'[5]TB03-31-04(Final)'!E966</f>
        <v>0</v>
      </c>
      <c r="F35" s="672">
        <f aca="true" t="shared" si="4" ref="F35:F46">SUM(D35:E35)</f>
        <v>0</v>
      </c>
      <c r="G35" s="673"/>
      <c r="H35" s="673"/>
      <c r="I35" s="674"/>
      <c r="J35" s="683">
        <f>+'[6]TB09-30-02(Final)'!$D$872</f>
        <v>0</v>
      </c>
      <c r="K35" s="681">
        <f>+'[6]TB09-30-02(Final)'!$E$875-J35</f>
        <v>17941</v>
      </c>
      <c r="L35" s="672">
        <f t="shared" si="2"/>
        <v>17941</v>
      </c>
      <c r="Q35" s="655">
        <f t="shared" si="1"/>
        <v>35882</v>
      </c>
      <c r="R35" s="661">
        <f t="shared" si="3"/>
        <v>-17941</v>
      </c>
      <c r="S35" s="696">
        <f>R35/L35</f>
        <v>-1</v>
      </c>
      <c r="T35" t="s">
        <v>199</v>
      </c>
    </row>
    <row r="36" spans="2:19" ht="12.75">
      <c r="B36" s="661"/>
      <c r="C36" s="658"/>
      <c r="D36" s="659"/>
      <c r="E36" s="659"/>
      <c r="F36" s="672">
        <f t="shared" si="4"/>
        <v>0</v>
      </c>
      <c r="G36" s="673"/>
      <c r="H36" s="673"/>
      <c r="I36" s="674"/>
      <c r="J36" s="683"/>
      <c r="L36" s="672">
        <f t="shared" si="2"/>
        <v>0</v>
      </c>
      <c r="Q36" s="655">
        <f t="shared" si="1"/>
        <v>0</v>
      </c>
      <c r="R36" s="661">
        <f t="shared" si="3"/>
        <v>0</v>
      </c>
      <c r="S36" s="696"/>
    </row>
    <row r="37" spans="1:19" ht="12.75">
      <c r="A37" t="s">
        <v>396</v>
      </c>
      <c r="B37" s="661" t="s">
        <v>241</v>
      </c>
      <c r="C37" s="658"/>
      <c r="D37" s="659">
        <v>0</v>
      </c>
      <c r="E37" s="659">
        <v>700</v>
      </c>
      <c r="F37" s="672">
        <f t="shared" si="4"/>
        <v>700</v>
      </c>
      <c r="G37" s="673"/>
      <c r="H37" s="673"/>
      <c r="I37" s="674"/>
      <c r="J37" s="683">
        <v>0</v>
      </c>
      <c r="K37" s="681">
        <f>+'[6]TB09-30-02(Final)'!$E$708-J37</f>
        <v>1300</v>
      </c>
      <c r="L37" s="672">
        <f t="shared" si="2"/>
        <v>1300</v>
      </c>
      <c r="Q37" s="655">
        <f t="shared" si="1"/>
        <v>2600</v>
      </c>
      <c r="R37" s="661">
        <f t="shared" si="3"/>
        <v>-600</v>
      </c>
      <c r="S37" s="696">
        <f>R37/L37</f>
        <v>-0.46153846153846156</v>
      </c>
    </row>
    <row r="38" spans="2:19" ht="12.75">
      <c r="B38" s="661"/>
      <c r="C38" s="658"/>
      <c r="D38" s="659"/>
      <c r="E38" s="659"/>
      <c r="F38" s="672">
        <f t="shared" si="4"/>
        <v>0</v>
      </c>
      <c r="G38" s="673"/>
      <c r="H38" s="673"/>
      <c r="I38" s="674"/>
      <c r="J38" s="683"/>
      <c r="L38" s="672">
        <f t="shared" si="2"/>
        <v>0</v>
      </c>
      <c r="Q38" s="655">
        <f t="shared" si="1"/>
        <v>0</v>
      </c>
      <c r="R38" s="661">
        <f t="shared" si="3"/>
        <v>0</v>
      </c>
      <c r="S38" s="696"/>
    </row>
    <row r="39" spans="1:19" ht="12.75">
      <c r="A39" t="s">
        <v>397</v>
      </c>
      <c r="B39" s="661" t="s">
        <v>242</v>
      </c>
      <c r="C39" s="658">
        <v>1427.25</v>
      </c>
      <c r="D39" s="659">
        <f>+'[5]TB03-31-04(Final)'!Z955</f>
        <v>458.98</v>
      </c>
      <c r="E39" s="659">
        <f>+'[5]TB03-31-04(Final)'!Z958</f>
        <v>1732.87</v>
      </c>
      <c r="F39" s="672">
        <f t="shared" si="4"/>
        <v>2191.85</v>
      </c>
      <c r="G39" s="673"/>
      <c r="H39" s="673"/>
      <c r="I39" s="674"/>
      <c r="J39" s="683">
        <v>330.55</v>
      </c>
      <c r="K39" s="681">
        <f>SUM('[6]TB09-30-02(Final)'!$E$867)-J39</f>
        <v>3342.7299999999996</v>
      </c>
      <c r="L39" s="672">
        <f t="shared" si="2"/>
        <v>3673.2799999999997</v>
      </c>
      <c r="Q39" s="655">
        <f t="shared" si="1"/>
        <v>7346.5599999999995</v>
      </c>
      <c r="R39" s="661">
        <f t="shared" si="3"/>
        <v>-1481.4299999999998</v>
      </c>
      <c r="S39" s="696">
        <f>R39/L39</f>
        <v>-0.4032989589685512</v>
      </c>
    </row>
    <row r="40" spans="2:19" ht="12.75">
      <c r="B40" s="661"/>
      <c r="C40" s="658"/>
      <c r="D40" s="659"/>
      <c r="E40" s="659"/>
      <c r="F40" s="672">
        <f t="shared" si="4"/>
        <v>0</v>
      </c>
      <c r="G40" s="673"/>
      <c r="H40" s="673"/>
      <c r="I40" s="674"/>
      <c r="J40" s="683"/>
      <c r="L40" s="672">
        <f t="shared" si="2"/>
        <v>0</v>
      </c>
      <c r="Q40" s="655">
        <f t="shared" si="1"/>
        <v>0</v>
      </c>
      <c r="R40" s="661">
        <f t="shared" si="3"/>
        <v>0</v>
      </c>
      <c r="S40" s="696"/>
    </row>
    <row r="41" spans="1:19" ht="12.75">
      <c r="A41" t="s">
        <v>398</v>
      </c>
      <c r="B41" s="661" t="s">
        <v>243</v>
      </c>
      <c r="C41" s="658">
        <f>8755.56+916.17+869.2</f>
        <v>10540.93</v>
      </c>
      <c r="D41" s="659">
        <f>+'[5]TB03-31-04(Final)'!Z885+'[5]TB03-31-04(Final)'!Z893+'[5]TB03-31-04(Final)'!Z916</f>
        <v>10203.87</v>
      </c>
      <c r="E41" s="659">
        <f>+'[5]TB03-31-04(Final)'!Z896+'[5]TB03-31-04(Final)'!Z918-D41</f>
        <v>80439.4</v>
      </c>
      <c r="F41" s="672">
        <f t="shared" si="4"/>
        <v>90643.26999999999</v>
      </c>
      <c r="G41" s="673"/>
      <c r="H41" s="673"/>
      <c r="I41" s="674"/>
      <c r="J41" s="683">
        <f>8555.67+1016.99+833.91</f>
        <v>10406.57</v>
      </c>
      <c r="K41" s="681">
        <f>SUM('[6]TB09-30-02(Final)'!$E$798:$E$806)+'[6]TB09-30-02(Final)'!$E$828-J41</f>
        <v>82521.57999999999</v>
      </c>
      <c r="L41" s="672">
        <f t="shared" si="2"/>
        <v>92928.15</v>
      </c>
      <c r="Q41" s="655">
        <f t="shared" si="1"/>
        <v>185856.3</v>
      </c>
      <c r="R41" s="661">
        <f t="shared" si="3"/>
        <v>-2284.8800000000047</v>
      </c>
      <c r="S41" s="696">
        <f>R41/L41</f>
        <v>-0.024587598052904367</v>
      </c>
    </row>
    <row r="42" spans="2:19" ht="12.75">
      <c r="B42" s="661"/>
      <c r="C42" s="658"/>
      <c r="D42" s="659"/>
      <c r="E42" s="659"/>
      <c r="F42" s="672">
        <f t="shared" si="4"/>
        <v>0</v>
      </c>
      <c r="G42" s="673"/>
      <c r="H42" s="673"/>
      <c r="I42" s="674"/>
      <c r="J42" s="683"/>
      <c r="L42" s="672">
        <f t="shared" si="2"/>
        <v>0</v>
      </c>
      <c r="Q42" s="655">
        <f t="shared" si="1"/>
        <v>0</v>
      </c>
      <c r="R42" s="661">
        <f t="shared" si="3"/>
        <v>0</v>
      </c>
      <c r="S42" s="696"/>
    </row>
    <row r="43" spans="1:19" ht="12.75">
      <c r="A43" t="s">
        <v>399</v>
      </c>
      <c r="B43" s="661" t="s">
        <v>252</v>
      </c>
      <c r="C43" s="658">
        <v>1404</v>
      </c>
      <c r="D43" s="659">
        <f>+'[5]TB03-31-04(Final)'!Z879</f>
        <v>1666.56</v>
      </c>
      <c r="E43" s="659">
        <f>+'[5]TB03-31-04(Final)'!Z880-D43</f>
        <v>13585.060000000001</v>
      </c>
      <c r="F43" s="672">
        <f t="shared" si="4"/>
        <v>15251.62</v>
      </c>
      <c r="G43" s="673"/>
      <c r="H43" s="673"/>
      <c r="I43" s="674"/>
      <c r="J43" s="683">
        <v>1418.66</v>
      </c>
      <c r="K43" s="681">
        <f>SUM('[6]TB09-30-02(Final)'!$E$782)+'[6]TB09-30-02(Final)'!$D$789-J43</f>
        <v>11079.07</v>
      </c>
      <c r="L43" s="672">
        <f t="shared" si="2"/>
        <v>12497.73</v>
      </c>
      <c r="Q43" s="655">
        <f t="shared" si="1"/>
        <v>24995.46</v>
      </c>
      <c r="R43" s="661">
        <f t="shared" si="3"/>
        <v>2753.8900000000012</v>
      </c>
      <c r="S43" s="696">
        <f>R43/L43</f>
        <v>0.2203512157807859</v>
      </c>
    </row>
    <row r="44" spans="2:19" ht="12.75">
      <c r="B44" s="661"/>
      <c r="C44" s="658"/>
      <c r="D44" s="659"/>
      <c r="E44" s="659"/>
      <c r="F44" s="672">
        <f t="shared" si="4"/>
        <v>0</v>
      </c>
      <c r="G44" s="673"/>
      <c r="H44" s="673"/>
      <c r="I44" s="674"/>
      <c r="J44" s="683"/>
      <c r="L44" s="672">
        <f t="shared" si="2"/>
        <v>0</v>
      </c>
      <c r="Q44" s="655">
        <f t="shared" si="1"/>
        <v>0</v>
      </c>
      <c r="R44" s="661">
        <f t="shared" si="3"/>
        <v>0</v>
      </c>
      <c r="S44" s="696"/>
    </row>
    <row r="45" spans="1:19" ht="12.75">
      <c r="A45" t="s">
        <v>400</v>
      </c>
      <c r="B45" s="661" t="s">
        <v>95</v>
      </c>
      <c r="C45" s="658">
        <f>1424.49+806+206</f>
        <v>2436.49</v>
      </c>
      <c r="D45" s="659">
        <f>SUM(B46:B48)</f>
        <v>2435.74</v>
      </c>
      <c r="E45" s="659">
        <f>+'[5]TB03-31-04(Final)'!Z863-D45</f>
        <v>19064.65</v>
      </c>
      <c r="F45" s="672">
        <f t="shared" si="4"/>
        <v>21500.39</v>
      </c>
      <c r="G45" s="673"/>
      <c r="H45" s="673"/>
      <c r="I45" s="674"/>
      <c r="J45" s="683">
        <f>1843.4+1541.91+236.81</f>
        <v>3622.1200000000003</v>
      </c>
      <c r="K45" s="681">
        <f>SUM('[6]TB09-30-02(Final)'!$E$742:$E$773)-J45</f>
        <v>25378.04</v>
      </c>
      <c r="L45" s="672">
        <f t="shared" si="2"/>
        <v>29000.16</v>
      </c>
      <c r="Q45" s="655">
        <f t="shared" si="1"/>
        <v>58000.32</v>
      </c>
      <c r="R45" s="661">
        <f t="shared" si="3"/>
        <v>-7499.77</v>
      </c>
      <c r="S45" s="696">
        <f>R45/L45</f>
        <v>-0.2586113317995487</v>
      </c>
    </row>
    <row r="46" spans="2:19" ht="12.75" hidden="1">
      <c r="B46" s="661">
        <v>1424.49</v>
      </c>
      <c r="C46" s="658"/>
      <c r="D46" s="659"/>
      <c r="E46" s="659"/>
      <c r="F46" s="672">
        <f t="shared" si="4"/>
        <v>0</v>
      </c>
      <c r="G46" s="673"/>
      <c r="H46" s="673"/>
      <c r="I46" s="674"/>
      <c r="J46" s="683"/>
      <c r="L46" s="672">
        <f t="shared" si="2"/>
        <v>0</v>
      </c>
      <c r="Q46" s="655">
        <f t="shared" si="1"/>
        <v>0</v>
      </c>
      <c r="R46" s="661">
        <f t="shared" si="3"/>
        <v>0</v>
      </c>
      <c r="S46" s="696" t="e">
        <f>R46/L46</f>
        <v>#DIV/0!</v>
      </c>
    </row>
    <row r="47" spans="2:19" ht="12.75" hidden="1">
      <c r="B47" s="661">
        <v>805.55</v>
      </c>
      <c r="C47" s="658"/>
      <c r="D47" s="659"/>
      <c r="E47" s="659"/>
      <c r="F47" s="672"/>
      <c r="G47" s="673"/>
      <c r="H47" s="673"/>
      <c r="I47" s="674"/>
      <c r="J47" s="683"/>
      <c r="L47" s="672">
        <f t="shared" si="2"/>
        <v>0</v>
      </c>
      <c r="Q47" s="655">
        <f t="shared" si="1"/>
        <v>0</v>
      </c>
      <c r="R47" s="661">
        <f t="shared" si="3"/>
        <v>0</v>
      </c>
      <c r="S47" s="696" t="e">
        <f>R47/L47</f>
        <v>#DIV/0!</v>
      </c>
    </row>
    <row r="48" spans="2:19" ht="12.75" hidden="1">
      <c r="B48" s="661">
        <v>205.7</v>
      </c>
      <c r="C48" s="658"/>
      <c r="D48" s="659"/>
      <c r="E48" s="659"/>
      <c r="F48" s="672"/>
      <c r="G48" s="673"/>
      <c r="H48" s="673"/>
      <c r="I48" s="674"/>
      <c r="J48" s="683"/>
      <c r="L48" s="672">
        <f t="shared" si="2"/>
        <v>0</v>
      </c>
      <c r="Q48" s="655">
        <f t="shared" si="1"/>
        <v>0</v>
      </c>
      <c r="R48" s="661">
        <f t="shared" si="3"/>
        <v>0</v>
      </c>
      <c r="S48" s="696" t="e">
        <f>R48/L48</f>
        <v>#DIV/0!</v>
      </c>
    </row>
    <row r="49" spans="2:19" ht="12.75">
      <c r="B49" s="661"/>
      <c r="C49" s="658"/>
      <c r="D49" s="659"/>
      <c r="E49" s="659"/>
      <c r="F49" s="672"/>
      <c r="G49" s="673"/>
      <c r="H49" s="673"/>
      <c r="I49" s="674"/>
      <c r="J49" s="683"/>
      <c r="L49" s="672">
        <f t="shared" si="2"/>
        <v>0</v>
      </c>
      <c r="Q49" s="655">
        <f t="shared" si="1"/>
        <v>0</v>
      </c>
      <c r="R49" s="661">
        <f t="shared" si="3"/>
        <v>0</v>
      </c>
      <c r="S49" s="696"/>
    </row>
    <row r="50" spans="1:19" ht="12.75">
      <c r="A50" t="s">
        <v>401</v>
      </c>
      <c r="B50" s="661" t="s">
        <v>254</v>
      </c>
      <c r="C50" s="658">
        <f>801.69+675.35</f>
        <v>1477.04</v>
      </c>
      <c r="D50" s="659">
        <f>+'[5]TB03-31-04(Final)'!Z941</f>
        <v>2273.06</v>
      </c>
      <c r="E50" s="659">
        <f>+'[5]TB03-31-04(Final)'!Z942-D50</f>
        <v>23542.219999999998</v>
      </c>
      <c r="F50" s="672">
        <f>SUM(D50:E50)</f>
        <v>25815.28</v>
      </c>
      <c r="G50" s="673"/>
      <c r="H50" s="673"/>
      <c r="I50" s="674"/>
      <c r="J50" s="683">
        <f>263.34+1215.67+5.48</f>
        <v>1484.49</v>
      </c>
      <c r="K50" s="681">
        <f>SUM('[6]TB09-30-02(Final)'!$E$829:$E$860)-J50</f>
        <v>25704.69</v>
      </c>
      <c r="L50" s="672">
        <f t="shared" si="2"/>
        <v>27189.18</v>
      </c>
      <c r="Q50" s="655">
        <f t="shared" si="1"/>
        <v>54378.36</v>
      </c>
      <c r="R50" s="661">
        <f t="shared" si="3"/>
        <v>-1373.9000000000015</v>
      </c>
      <c r="S50" s="696">
        <f>R50/L50</f>
        <v>-0.05053113039819522</v>
      </c>
    </row>
    <row r="51" spans="2:19" ht="12.75">
      <c r="B51" s="661"/>
      <c r="C51" s="658"/>
      <c r="D51" s="659"/>
      <c r="E51" s="659"/>
      <c r="F51" s="672"/>
      <c r="G51" s="673"/>
      <c r="H51" s="673"/>
      <c r="I51" s="674"/>
      <c r="J51" s="683"/>
      <c r="L51" s="672">
        <f t="shared" si="2"/>
        <v>0</v>
      </c>
      <c r="Q51" s="655">
        <f t="shared" si="1"/>
        <v>0</v>
      </c>
      <c r="R51" s="661">
        <f t="shared" si="3"/>
        <v>0</v>
      </c>
      <c r="S51" s="696"/>
    </row>
    <row r="52" spans="1:19" ht="12.75">
      <c r="A52" t="s">
        <v>402</v>
      </c>
      <c r="B52" s="661" t="s">
        <v>244</v>
      </c>
      <c r="C52" s="658">
        <f>4337.84+1156.22</f>
        <v>5494.06</v>
      </c>
      <c r="D52" s="659">
        <f>+'[5]TB03-31-04(Final)'!Z911</f>
        <v>4994.889999999999</v>
      </c>
      <c r="E52" s="659">
        <f>+'[5]TB03-31-04(Final)'!Z912-D52</f>
        <v>35138.3</v>
      </c>
      <c r="F52" s="672">
        <f>SUM(D52:E52)</f>
        <v>40133.19</v>
      </c>
      <c r="G52" s="673"/>
      <c r="H52" s="673"/>
      <c r="I52" s="674"/>
      <c r="J52" s="683">
        <f>3829.73+1090.47</f>
        <v>4920.2</v>
      </c>
      <c r="K52" s="681">
        <f>SUM('[6]TB09-30-02(Final)'!$E$814:$E$823)-J52</f>
        <v>42403.07000000001</v>
      </c>
      <c r="L52" s="672">
        <f t="shared" si="2"/>
        <v>47323.270000000004</v>
      </c>
      <c r="Q52" s="655">
        <f t="shared" si="1"/>
        <v>94646.54000000001</v>
      </c>
      <c r="R52" s="661">
        <f t="shared" si="3"/>
        <v>-7190.080000000002</v>
      </c>
      <c r="S52" s="696">
        <f>R52/L52</f>
        <v>-0.15193540091375768</v>
      </c>
    </row>
    <row r="53" spans="2:19" ht="12.75">
      <c r="B53" s="661"/>
      <c r="C53" s="658"/>
      <c r="D53" s="659"/>
      <c r="E53" s="659"/>
      <c r="F53" s="672"/>
      <c r="G53" s="673"/>
      <c r="H53" s="673"/>
      <c r="I53" s="674"/>
      <c r="J53" s="683"/>
      <c r="L53" s="672">
        <f t="shared" si="2"/>
        <v>0</v>
      </c>
      <c r="Q53" s="655">
        <f t="shared" si="1"/>
        <v>0</v>
      </c>
      <c r="R53" s="661">
        <f t="shared" si="3"/>
        <v>0</v>
      </c>
      <c r="S53" s="696"/>
    </row>
    <row r="54" spans="1:20" ht="12.75">
      <c r="A54" t="s">
        <v>175</v>
      </c>
      <c r="B54" s="661" t="s">
        <v>97</v>
      </c>
      <c r="C54" s="658">
        <v>767.76</v>
      </c>
      <c r="D54" s="659">
        <f>+'[5]TB03-31-04(Final)'!Z781</f>
        <v>399.46</v>
      </c>
      <c r="E54" s="659">
        <f>+'[5]TB03-31-04(Final)'!Z784-D54</f>
        <v>17859.89</v>
      </c>
      <c r="F54" s="672">
        <f>SUM(D54:E54)</f>
        <v>18259.35</v>
      </c>
      <c r="G54" s="673"/>
      <c r="H54" s="673"/>
      <c r="I54" s="674"/>
      <c r="J54" s="683">
        <f>936.75+468.71+149.88</f>
        <v>1555.3400000000001</v>
      </c>
      <c r="K54" s="681">
        <f>SUM('[6]TB09-30-02(Final)'!$E$686:$E$703)-J54</f>
        <v>10897.34</v>
      </c>
      <c r="L54" s="672">
        <f t="shared" si="2"/>
        <v>12452.68</v>
      </c>
      <c r="Q54" s="655">
        <f t="shared" si="1"/>
        <v>24905.36</v>
      </c>
      <c r="R54" s="661">
        <f t="shared" si="3"/>
        <v>5806.669999999998</v>
      </c>
      <c r="S54" s="696">
        <f>R54/L54</f>
        <v>0.4662988208160812</v>
      </c>
      <c r="T54" t="s">
        <v>200</v>
      </c>
    </row>
    <row r="55" spans="2:19" ht="12.75">
      <c r="B55" s="645"/>
      <c r="C55" s="658"/>
      <c r="D55" s="646"/>
      <c r="E55" s="646"/>
      <c r="G55" s="646"/>
      <c r="H55" s="646"/>
      <c r="I55" s="358"/>
      <c r="R55" s="682"/>
      <c r="S55" s="701"/>
    </row>
    <row r="56" spans="2:19" ht="12.75">
      <c r="B56" s="645"/>
      <c r="C56" s="658"/>
      <c r="D56" s="646"/>
      <c r="E56" s="646"/>
      <c r="F56" s="654"/>
      <c r="G56" s="650"/>
      <c r="H56" s="650"/>
      <c r="I56" s="678"/>
      <c r="J56" s="708"/>
      <c r="K56" s="684"/>
      <c r="L56" s="741"/>
      <c r="M56" s="680"/>
      <c r="N56" s="680"/>
      <c r="O56" s="680"/>
      <c r="P56" s="680"/>
      <c r="Q56" s="680"/>
      <c r="R56" s="741"/>
      <c r="S56" s="702"/>
    </row>
    <row r="57" spans="2:19" ht="12.75">
      <c r="B57" s="59" t="s">
        <v>194</v>
      </c>
      <c r="C57" s="651"/>
      <c r="D57" s="650"/>
      <c r="E57" s="650"/>
      <c r="F57" s="693">
        <f>SUM(F15:F56)</f>
        <v>1672692.2500000002</v>
      </c>
      <c r="G57" s="739"/>
      <c r="H57" s="739"/>
      <c r="I57" s="739"/>
      <c r="J57" s="685"/>
      <c r="K57" s="740"/>
      <c r="L57" s="693">
        <f>SUM(L15:L56)</f>
        <v>1357795.3799999997</v>
      </c>
      <c r="M57" s="739"/>
      <c r="N57" s="739"/>
      <c r="O57" s="739"/>
      <c r="P57" s="739"/>
      <c r="Q57" s="739"/>
      <c r="R57" s="693">
        <f>+F57-L57</f>
        <v>314896.8700000006</v>
      </c>
      <c r="S57" s="696">
        <f>R57/L57</f>
        <v>0.23191776510537299</v>
      </c>
    </row>
    <row r="58" spans="1:19" s="643" customFormat="1" ht="12.75">
      <c r="A58" s="731" t="s">
        <v>176</v>
      </c>
      <c r="B58" s="732" t="s">
        <v>186</v>
      </c>
      <c r="C58" s="733">
        <f>SUM(C25:C57)</f>
        <v>108411.12999999999</v>
      </c>
      <c r="D58" s="733">
        <f>SUM(D11:D57)-1</f>
        <v>4566841.06</v>
      </c>
      <c r="E58" s="733">
        <f>SUM(E11:E54)</f>
        <v>1544594.02</v>
      </c>
      <c r="F58" s="733">
        <f>SUM(F11:F55)</f>
        <v>6111436.079999999</v>
      </c>
      <c r="G58" s="734"/>
      <c r="H58" s="734"/>
      <c r="I58" s="735"/>
      <c r="J58" s="736">
        <f>SUM(J11:J57)</f>
        <v>4077227.4899999998</v>
      </c>
      <c r="K58" s="737">
        <f>SUM(K10:K57)</f>
        <v>1257968.2800000003</v>
      </c>
      <c r="L58" s="733">
        <f>SUM(L10:L55)</f>
        <v>5335195.77</v>
      </c>
      <c r="M58" s="731"/>
      <c r="N58" s="731"/>
      <c r="O58" s="731"/>
      <c r="P58" s="731"/>
      <c r="Q58" s="731"/>
      <c r="R58" s="733">
        <f>+F58-L58</f>
        <v>776240.3099999996</v>
      </c>
      <c r="S58" s="738">
        <f>R58/L58</f>
        <v>0.14549425053244103</v>
      </c>
    </row>
    <row r="59" spans="1:20" ht="12.75">
      <c r="A59" t="s">
        <v>177</v>
      </c>
      <c r="B59" s="661" t="s">
        <v>245</v>
      </c>
      <c r="C59" s="659"/>
      <c r="D59" s="672"/>
      <c r="E59" s="672">
        <f>+'[5]TB03-31-04(Final)'!E644</f>
        <v>22313.94</v>
      </c>
      <c r="F59" s="672">
        <f>SUM(D59:E59)</f>
        <v>22313.94</v>
      </c>
      <c r="G59" s="673"/>
      <c r="H59" s="673"/>
      <c r="I59" s="674"/>
      <c r="K59" s="681">
        <f>SUM('[6]TB09-30-02(Final)'!$E$562)-J59</f>
        <v>11580</v>
      </c>
      <c r="L59" s="672">
        <f>SUM(J59:K59)</f>
        <v>11580</v>
      </c>
      <c r="R59" s="661">
        <f t="shared" si="3"/>
        <v>10733.939999999999</v>
      </c>
      <c r="S59" s="696">
        <f>R59/L59</f>
        <v>0.9269378238341968</v>
      </c>
      <c r="T59" t="s">
        <v>197</v>
      </c>
    </row>
    <row r="60" spans="2:19" ht="12.75">
      <c r="B60" s="644"/>
      <c r="C60" s="659"/>
      <c r="D60" s="673"/>
      <c r="E60" s="673"/>
      <c r="F60" s="675"/>
      <c r="G60" s="673"/>
      <c r="H60" s="673"/>
      <c r="I60" s="674"/>
      <c r="J60" s="681" t="s">
        <v>162</v>
      </c>
      <c r="L60" s="703"/>
      <c r="R60" s="652">
        <f t="shared" si="3"/>
        <v>0</v>
      </c>
      <c r="S60" s="699"/>
    </row>
    <row r="61" spans="1:19" ht="12.75">
      <c r="A61" t="s">
        <v>178</v>
      </c>
      <c r="B61" s="59" t="s">
        <v>246</v>
      </c>
      <c r="C61" s="662"/>
      <c r="D61" s="673"/>
      <c r="E61" s="673"/>
      <c r="F61" s="703"/>
      <c r="G61" s="704"/>
      <c r="H61" s="704"/>
      <c r="I61" s="705"/>
      <c r="L61" s="703"/>
      <c r="R61" s="652">
        <f t="shared" si="3"/>
        <v>0</v>
      </c>
      <c r="S61" s="699"/>
    </row>
    <row r="62" spans="2:19" ht="12.75">
      <c r="B62" s="659" t="s">
        <v>247</v>
      </c>
      <c r="C62" s="659"/>
      <c r="D62" s="674">
        <f>+'[5]TB03-31-04(Final)'!Z790</f>
        <v>289.58</v>
      </c>
      <c r="E62" s="675">
        <v>0</v>
      </c>
      <c r="F62" s="703">
        <f>SUM(D62:E62)</f>
        <v>289.58</v>
      </c>
      <c r="G62" s="704"/>
      <c r="H62" s="704"/>
      <c r="I62" s="705"/>
      <c r="L62" s="703"/>
      <c r="R62" s="652">
        <f t="shared" si="3"/>
        <v>289.58</v>
      </c>
      <c r="S62" s="699"/>
    </row>
    <row r="63" spans="2:19" ht="12.75">
      <c r="B63" s="659" t="s">
        <v>248</v>
      </c>
      <c r="C63" s="659"/>
      <c r="D63" s="674" t="e">
        <f>+'[5]TB03-31-04(Final)'!D991</f>
        <v>#REF!</v>
      </c>
      <c r="E63" s="674">
        <f>+'[5]TB03-31-04(Final)'!E994</f>
        <v>0</v>
      </c>
      <c r="F63" s="703" t="e">
        <f>SUM(D63:E63)</f>
        <v>#REF!</v>
      </c>
      <c r="G63" s="704"/>
      <c r="H63" s="704"/>
      <c r="I63" s="705"/>
      <c r="L63" s="703"/>
      <c r="R63" s="652" t="e">
        <f t="shared" si="3"/>
        <v>#REF!</v>
      </c>
      <c r="S63" s="699"/>
    </row>
    <row r="64" spans="2:20" ht="12.75">
      <c r="B64" s="659" t="s">
        <v>253</v>
      </c>
      <c r="C64" s="660">
        <f>209.55+403.86+1554.27</f>
        <v>2167.6800000000003</v>
      </c>
      <c r="D64" s="672">
        <f>+'[5]TB03-31-04(Final)'!Z830</f>
        <v>6929.51</v>
      </c>
      <c r="E64" s="672">
        <f>+'[5]TB03-31-04(Final)'!Z831-D64</f>
        <v>20592.989999999998</v>
      </c>
      <c r="F64" s="672">
        <f>SUM(D64:E64)</f>
        <v>27522.5</v>
      </c>
      <c r="G64" s="673"/>
      <c r="H64" s="673"/>
      <c r="I64" s="674"/>
      <c r="J64" s="681">
        <f>-475.32+120-425.35</f>
        <v>-780.6700000000001</v>
      </c>
      <c r="K64" s="681">
        <f>SUM('[6]TB09-30-02(Final)'!$E$710:$E$741)-J64</f>
        <v>1693.6599999999994</v>
      </c>
      <c r="L64" s="672">
        <f>SUM(J64:K64)</f>
        <v>912.9899999999993</v>
      </c>
      <c r="R64" s="661">
        <f t="shared" si="3"/>
        <v>26609.510000000002</v>
      </c>
      <c r="S64" s="696">
        <f>R64/L64</f>
        <v>29.145456138621476</v>
      </c>
      <c r="T64" t="s">
        <v>196</v>
      </c>
    </row>
    <row r="65" spans="2:19" ht="12.75">
      <c r="B65" s="659" t="s">
        <v>298</v>
      </c>
      <c r="C65" s="663">
        <f>712.12-2.22-102</f>
        <v>607.9</v>
      </c>
      <c r="D65" s="676">
        <f>+'[5]TB03-31-04(Final)'!Z1001-102</f>
        <v>700.17</v>
      </c>
      <c r="E65" s="676">
        <f>+'[5]TB03-31-04(Final)'!Z1003+102</f>
        <v>13523.92</v>
      </c>
      <c r="F65" s="676">
        <f>SUM(D65:E65)</f>
        <v>14224.09</v>
      </c>
      <c r="G65" s="673"/>
      <c r="H65" s="673"/>
      <c r="I65" s="674"/>
      <c r="J65" s="684">
        <f>913.62+176.46+56.22</f>
        <v>1146.3</v>
      </c>
      <c r="K65" s="684">
        <f>(7314.87-2304.97)-J65</f>
        <v>3863.5999999999995</v>
      </c>
      <c r="L65" s="676">
        <f>SUM(J65:K65)</f>
        <v>5009.9</v>
      </c>
      <c r="R65" s="668">
        <f t="shared" si="3"/>
        <v>9214.19</v>
      </c>
      <c r="S65" s="700">
        <f>R65/L65</f>
        <v>1.839196391145532</v>
      </c>
    </row>
    <row r="66" spans="2:19" ht="13.5" thickBot="1">
      <c r="B66" s="59" t="s">
        <v>191</v>
      </c>
      <c r="C66" s="717"/>
      <c r="D66" s="661"/>
      <c r="E66" s="661"/>
      <c r="F66" s="718">
        <f>+F57+F59+F64+F65</f>
        <v>1736752.7800000003</v>
      </c>
      <c r="G66" s="719"/>
      <c r="H66" s="719"/>
      <c r="I66" s="720"/>
      <c r="J66" s="721"/>
      <c r="K66" s="721"/>
      <c r="L66" s="718">
        <f>+L57+L59+L64+L65</f>
        <v>1375298.2699999996</v>
      </c>
      <c r="M66" s="710"/>
      <c r="N66" s="710"/>
      <c r="O66" s="710"/>
      <c r="P66" s="710"/>
      <c r="Q66" s="710"/>
      <c r="R66" s="711"/>
      <c r="S66" s="712"/>
    </row>
    <row r="67" spans="2:19" ht="13.5" thickTop="1">
      <c r="B67" s="74" t="s">
        <v>193</v>
      </c>
      <c r="C67" s="679"/>
      <c r="D67" s="672"/>
      <c r="E67" s="672"/>
      <c r="F67" s="672">
        <v>-111187.2</v>
      </c>
      <c r="G67" s="713"/>
      <c r="H67" s="713"/>
      <c r="I67" s="714"/>
      <c r="J67" s="686"/>
      <c r="K67" s="686"/>
      <c r="L67" s="672">
        <v>-100193</v>
      </c>
      <c r="M67" s="715"/>
      <c r="N67" s="715"/>
      <c r="O67" s="715"/>
      <c r="P67" s="715"/>
      <c r="Q67" s="715"/>
      <c r="R67" s="691"/>
      <c r="S67" s="716"/>
    </row>
    <row r="68" spans="2:19" s="722" customFormat="1" ht="13.5" thickBot="1">
      <c r="B68" s="59" t="s">
        <v>192</v>
      </c>
      <c r="C68" s="717"/>
      <c r="D68" s="661"/>
      <c r="E68" s="661"/>
      <c r="F68" s="727">
        <f>+F66+F67</f>
        <v>1625565.5800000003</v>
      </c>
      <c r="G68" s="728"/>
      <c r="H68" s="728"/>
      <c r="I68" s="728"/>
      <c r="J68" s="729"/>
      <c r="K68" s="729"/>
      <c r="L68" s="727">
        <f>+L66+L67</f>
        <v>1275105.2699999996</v>
      </c>
      <c r="M68" s="723"/>
      <c r="N68" s="723"/>
      <c r="O68" s="723"/>
      <c r="P68" s="723"/>
      <c r="Q68" s="723"/>
      <c r="R68" s="727">
        <f>+F68-L68</f>
        <v>350460.31000000075</v>
      </c>
      <c r="S68" s="730">
        <f>R68/L68</f>
        <v>0.2748481386168225</v>
      </c>
    </row>
    <row r="69" spans="2:19" s="722" customFormat="1" ht="12.75">
      <c r="B69" s="59"/>
      <c r="C69" s="717"/>
      <c r="D69" s="661"/>
      <c r="E69" s="661"/>
      <c r="F69" s="724"/>
      <c r="G69" s="725"/>
      <c r="H69" s="725"/>
      <c r="I69" s="725"/>
      <c r="J69" s="726"/>
      <c r="K69" s="726"/>
      <c r="L69" s="724"/>
      <c r="M69" s="723"/>
      <c r="N69" s="723"/>
      <c r="O69" s="723"/>
      <c r="P69" s="723"/>
      <c r="Q69" s="723"/>
      <c r="R69" s="691"/>
      <c r="S69" s="716"/>
    </row>
    <row r="70" spans="1:19" s="643" customFormat="1" ht="12.75">
      <c r="A70" s="643" t="s">
        <v>179</v>
      </c>
      <c r="B70" s="59" t="s">
        <v>249</v>
      </c>
      <c r="C70" s="661">
        <f>+C58+C64+C65</f>
        <v>111186.70999999999</v>
      </c>
      <c r="D70" s="649" t="e">
        <f>SUM(D58:D65)+1</f>
        <v>#REF!</v>
      </c>
      <c r="E70" s="649">
        <f>SUM(E58:E65)</f>
        <v>1601024.8699999999</v>
      </c>
      <c r="F70" s="649" t="e">
        <f>SUM(F58:F65)</f>
        <v>#REF!</v>
      </c>
      <c r="G70" s="647"/>
      <c r="H70" s="647"/>
      <c r="I70" s="677"/>
      <c r="J70" s="687">
        <f>SUM(J58:J65)</f>
        <v>4077593.1199999996</v>
      </c>
      <c r="K70" s="685">
        <f>SUM(K58:K65)</f>
        <v>1275105.5400000003</v>
      </c>
      <c r="L70" s="649">
        <f>SUM(L58:L65)</f>
        <v>5352698.66</v>
      </c>
      <c r="S70" s="698"/>
    </row>
    <row r="71" spans="2:18" ht="12.75">
      <c r="B71" s="667" t="s">
        <v>99</v>
      </c>
      <c r="C71" s="362">
        <v>111187</v>
      </c>
      <c r="D71" s="668">
        <v>3400757</v>
      </c>
      <c r="E71" s="668">
        <v>1600894</v>
      </c>
      <c r="F71" s="668">
        <v>5001652</v>
      </c>
      <c r="G71" s="650"/>
      <c r="H71" s="650"/>
      <c r="I71" s="678"/>
      <c r="J71" s="686">
        <v>4077593</v>
      </c>
      <c r="K71" s="681">
        <f>1263526+11580</f>
        <v>1275106</v>
      </c>
      <c r="L71" s="668">
        <f>SUM(J71:K71)</f>
        <v>5352699</v>
      </c>
      <c r="R71" s="694"/>
    </row>
    <row r="72" spans="2:19" ht="13.5" thickBot="1">
      <c r="B72" s="709" t="s">
        <v>101</v>
      </c>
      <c r="C72" s="362">
        <f>+C70-C71</f>
        <v>-0.2900000000081491</v>
      </c>
      <c r="D72" s="669" t="e">
        <f>+D70-D71</f>
        <v>#REF!</v>
      </c>
      <c r="E72" s="669">
        <f>+E70-E71</f>
        <v>130.86999999987893</v>
      </c>
      <c r="F72" s="669" t="e">
        <f>+F70-F71</f>
        <v>#REF!</v>
      </c>
      <c r="G72" s="646"/>
      <c r="H72" s="646"/>
      <c r="I72" s="646"/>
      <c r="J72" s="688">
        <f>+J70-J71</f>
        <v>0.11999999964609742</v>
      </c>
      <c r="K72" s="688">
        <f>+K70-K71</f>
        <v>-0.45999999972991645</v>
      </c>
      <c r="L72" s="669">
        <f>+L70-L71</f>
        <v>-0.3399999998509884</v>
      </c>
      <c r="R72" s="695"/>
      <c r="S72" s="706"/>
    </row>
    <row r="73" spans="1:18" ht="13.5" thickTop="1">
      <c r="A73" t="s">
        <v>180</v>
      </c>
      <c r="B73" s="661" t="s">
        <v>250</v>
      </c>
      <c r="D73" s="661">
        <v>0</v>
      </c>
      <c r="E73" s="661">
        <v>305438</v>
      </c>
      <c r="F73" s="661">
        <f>SUM(D73:E73)</f>
        <v>305438</v>
      </c>
      <c r="G73" s="646"/>
      <c r="H73" s="646"/>
      <c r="I73" s="646"/>
      <c r="K73" s="681">
        <v>287179</v>
      </c>
      <c r="L73" s="661">
        <f>SUM(J73:K73)</f>
        <v>287179</v>
      </c>
      <c r="R73" s="643"/>
    </row>
    <row r="74" spans="1:18" ht="12.75">
      <c r="A74" t="s">
        <v>181</v>
      </c>
      <c r="B74" s="661" t="s">
        <v>98</v>
      </c>
      <c r="C74" s="651"/>
      <c r="D74" s="668">
        <v>0</v>
      </c>
      <c r="E74" s="668">
        <v>309881</v>
      </c>
      <c r="F74" s="668">
        <f>SUM(D74:E74)</f>
        <v>309881</v>
      </c>
      <c r="G74" s="646"/>
      <c r="H74" s="646"/>
      <c r="I74" s="646"/>
      <c r="J74" s="684"/>
      <c r="K74" s="681">
        <v>453634</v>
      </c>
      <c r="L74" s="668">
        <f>SUM(J74:K74)</f>
        <v>453634</v>
      </c>
      <c r="R74" s="643"/>
    </row>
    <row r="75" spans="2:19" ht="12.75">
      <c r="B75" s="661" t="s">
        <v>100</v>
      </c>
      <c r="D75" s="358">
        <f>+D73-D74</f>
        <v>0</v>
      </c>
      <c r="E75" s="661">
        <f>-E73+E74</f>
        <v>4443</v>
      </c>
      <c r="F75" s="661">
        <f>-F73+F74</f>
        <v>4443</v>
      </c>
      <c r="G75" s="646"/>
      <c r="H75" s="646"/>
      <c r="I75" s="646"/>
      <c r="J75" s="681">
        <f>SUM(J73:J74)</f>
        <v>0</v>
      </c>
      <c r="K75" s="689">
        <f>-K73+K74</f>
        <v>166455</v>
      </c>
      <c r="L75" s="661">
        <f>SUM(J75:K75)</f>
        <v>166455</v>
      </c>
      <c r="R75" s="690"/>
      <c r="S75" s="707"/>
    </row>
    <row r="76" spans="1:19" ht="13.5" thickBot="1">
      <c r="A76" t="s">
        <v>182</v>
      </c>
      <c r="B76" s="59" t="s">
        <v>251</v>
      </c>
      <c r="C76" s="657">
        <f>+C70-C73+C74</f>
        <v>111186.70999999999</v>
      </c>
      <c r="D76" s="657" t="e">
        <f>+D70-D73+D74</f>
        <v>#REF!</v>
      </c>
      <c r="E76" s="657">
        <f>+E70-E73+E74</f>
        <v>1605467.8699999999</v>
      </c>
      <c r="F76" s="746">
        <f>+F71+F75</f>
        <v>5006095</v>
      </c>
      <c r="G76" s="747"/>
      <c r="H76" s="747"/>
      <c r="I76" s="747"/>
      <c r="J76" s="748">
        <f>+J70-J73+J74</f>
        <v>4077593.1199999996</v>
      </c>
      <c r="K76" s="748">
        <f>+K70-K73+K74</f>
        <v>1441560.5400000003</v>
      </c>
      <c r="L76" s="746">
        <f>+L70-L73+L74</f>
        <v>5519153.66</v>
      </c>
      <c r="R76" s="695"/>
      <c r="S76" s="706"/>
    </row>
    <row r="77" spans="2:18" ht="13.5" thickTop="1">
      <c r="B77" s="667"/>
      <c r="E77" s="646">
        <v>1600894</v>
      </c>
      <c r="F77" s="652" t="e">
        <f>+F70-F73+F74</f>
        <v>#REF!</v>
      </c>
      <c r="J77" s="683"/>
      <c r="K77" s="681">
        <v>1263526</v>
      </c>
      <c r="L77" s="652">
        <f>+L70-L73+L74</f>
        <v>5519153.66</v>
      </c>
      <c r="R77" s="643"/>
    </row>
    <row r="78" spans="5:12" ht="12.75">
      <c r="E78" s="671">
        <f>+E76-E77</f>
        <v>4573.869999999879</v>
      </c>
      <c r="L78" s="652"/>
    </row>
    <row r="79" spans="2:11" ht="12.75">
      <c r="B79" s="667"/>
      <c r="E79" s="358"/>
      <c r="K79" s="681">
        <f>+K75-K78</f>
        <v>166455</v>
      </c>
    </row>
    <row r="80" ht="12.75">
      <c r="E80" s="671"/>
    </row>
    <row r="81" ht="12.75">
      <c r="E81" s="358"/>
    </row>
    <row r="82" spans="2:5" ht="12.75">
      <c r="B82" s="667"/>
      <c r="E82" s="671"/>
    </row>
  </sheetData>
  <sheetProtection/>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zoomScalePageLayoutView="0" workbookViewId="0" topLeftCell="A1">
      <selection activeCell="A1" sqref="A1:IV65536"/>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63" t="s">
        <v>320</v>
      </c>
      <c r="B1" s="963"/>
      <c r="C1" s="963"/>
      <c r="D1" s="963"/>
      <c r="E1" s="963"/>
      <c r="F1" s="963"/>
      <c r="G1" s="963"/>
      <c r="H1" s="241"/>
    </row>
    <row r="2" spans="1:8" s="27" customFormat="1" ht="18.75">
      <c r="A2" s="964"/>
      <c r="B2" s="964"/>
      <c r="C2" s="964"/>
      <c r="D2" s="964"/>
      <c r="E2" s="964"/>
      <c r="F2" s="964"/>
      <c r="G2" s="964"/>
      <c r="H2" s="1"/>
    </row>
    <row r="3" spans="1:8" s="29" customFormat="1" ht="18.75">
      <c r="A3" s="965" t="s">
        <v>353</v>
      </c>
      <c r="B3" s="965"/>
      <c r="C3" s="965"/>
      <c r="D3" s="965"/>
      <c r="E3" s="965"/>
      <c r="F3" s="965"/>
      <c r="G3" s="965"/>
      <c r="H3" s="28"/>
    </row>
    <row r="4" spans="1:8" s="29" customFormat="1" ht="18.75">
      <c r="A4" s="965" t="s">
        <v>81</v>
      </c>
      <c r="B4" s="965"/>
      <c r="C4" s="965"/>
      <c r="D4" s="965"/>
      <c r="E4" s="965"/>
      <c r="F4" s="965"/>
      <c r="G4" s="965"/>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112</v>
      </c>
      <c r="C7" s="392" t="s">
        <v>116</v>
      </c>
      <c r="D7" s="392" t="s">
        <v>212</v>
      </c>
      <c r="E7" s="392" t="s">
        <v>282</v>
      </c>
      <c r="F7" s="392" t="s">
        <v>167</v>
      </c>
      <c r="G7" s="392" t="s">
        <v>321</v>
      </c>
      <c r="H7" s="382"/>
      <c r="I7" s="32" t="s">
        <v>201</v>
      </c>
    </row>
    <row r="8" spans="1:8" s="34" customFormat="1" ht="12.75">
      <c r="A8" s="393" t="s">
        <v>355</v>
      </c>
      <c r="B8" s="394"/>
      <c r="C8" s="394"/>
      <c r="D8" s="394"/>
      <c r="E8" s="394"/>
      <c r="F8" s="394"/>
      <c r="G8" s="395"/>
      <c r="H8" s="33"/>
    </row>
    <row r="9" spans="1:9" ht="12.75">
      <c r="A9" s="396" t="s">
        <v>356</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357</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358</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359</v>
      </c>
      <c r="B13" s="501"/>
      <c r="C13" s="501"/>
      <c r="D13" s="501"/>
      <c r="E13" s="501"/>
      <c r="F13" s="501"/>
      <c r="G13" s="494"/>
      <c r="H13" s="37"/>
    </row>
    <row r="14" spans="1:10" ht="12.75">
      <c r="A14" s="354" t="s">
        <v>360</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361</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362</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363</v>
      </c>
      <c r="B17" s="494">
        <f>+'[5]TB03-31-04(Final)'!G635</f>
        <v>12016.59</v>
      </c>
      <c r="C17" s="494">
        <v>0</v>
      </c>
      <c r="D17" s="494">
        <v>0</v>
      </c>
      <c r="E17" s="494">
        <v>0</v>
      </c>
      <c r="F17" s="346">
        <v>0</v>
      </c>
      <c r="G17" s="498">
        <f t="shared" si="1"/>
        <v>12016.59</v>
      </c>
      <c r="H17" s="356">
        <f>+'(8)Earned Incurred YTD6'!C38</f>
        <v>108491.93</v>
      </c>
      <c r="I17" s="38">
        <v>62000</v>
      </c>
    </row>
    <row r="18" spans="1:10" ht="12.75">
      <c r="A18" s="398" t="s">
        <v>364</v>
      </c>
      <c r="B18" s="494">
        <f>+'[5]TB03-31-04(Final)'!G647</f>
        <v>92969.09</v>
      </c>
      <c r="C18" s="494">
        <v>0</v>
      </c>
      <c r="D18" s="494">
        <v>0</v>
      </c>
      <c r="E18" s="494">
        <v>0</v>
      </c>
      <c r="F18" s="494">
        <v>0</v>
      </c>
      <c r="G18" s="498">
        <f t="shared" si="1"/>
        <v>92969.09</v>
      </c>
      <c r="H18" s="36">
        <f>+G17+G18+G20</f>
        <v>108491.93</v>
      </c>
      <c r="I18" s="38">
        <v>65000</v>
      </c>
      <c r="J18" s="116">
        <f>+H17-H18</f>
        <v>0</v>
      </c>
    </row>
    <row r="19" spans="1:10" ht="12.75">
      <c r="A19" s="398" t="s">
        <v>365</v>
      </c>
      <c r="B19" s="346" t="e">
        <f>+'(8)Earned Incurred YTD6'!D37-C19-D19-E19</f>
        <v>#REF!</v>
      </c>
      <c r="C19" s="346">
        <f>+'[5]TB03-31-04(Final)'!F626+'[5]TB03-31-04(Final)'!F620+'[5]TB03-31-04(Final)'!F612+'[5]TB03-31-04(Final)'!F603+'[5]TB03-31-04(Final)'!F595+'[5]TB03-31-04(Final)'!F586</f>
        <v>-369.1</v>
      </c>
      <c r="D19" s="494">
        <f>+'[5]TB03-31-04(Final)'!G585</f>
        <v>0</v>
      </c>
      <c r="E19" s="494" t="e">
        <f>+'[5]TB03-31-04(Final)'!F584+'[5]TB03-31-04(Final)'!F593+'[5]TB03-31-04(Final)'!F601-'[5]TB03-31-04(Final)'!F610</f>
        <v>#REF!</v>
      </c>
      <c r="F19" s="590">
        <v>0</v>
      </c>
      <c r="G19" s="498" t="e">
        <f>SUM(B19:F19)</f>
        <v>#REF!</v>
      </c>
      <c r="H19" s="36">
        <f>+'[5]TB03-31-04(Final)'!G630</f>
        <v>528557.35</v>
      </c>
      <c r="I19" s="31" t="s">
        <v>202</v>
      </c>
      <c r="J19" s="116" t="e">
        <f>+G19-H19</f>
        <v>#REF!</v>
      </c>
    </row>
    <row r="20" spans="1:9" ht="12.75">
      <c r="A20" s="354" t="s">
        <v>366</v>
      </c>
      <c r="B20" s="494">
        <f>+'[5]TB03-31-04(Final)'!G639</f>
        <v>3506.25</v>
      </c>
      <c r="C20" s="494">
        <v>0</v>
      </c>
      <c r="D20" s="494">
        <v>0</v>
      </c>
      <c r="E20" s="494">
        <v>0</v>
      </c>
      <c r="F20" s="346">
        <v>0</v>
      </c>
      <c r="G20" s="498">
        <f t="shared" si="1"/>
        <v>3506.25</v>
      </c>
      <c r="H20" s="356">
        <f>+G20+G18+G17</f>
        <v>108491.93</v>
      </c>
      <c r="I20" s="38">
        <v>63000</v>
      </c>
    </row>
    <row r="21" spans="1:10" ht="12.75">
      <c r="A21" s="354" t="s">
        <v>367</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334</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358</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368</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369</v>
      </c>
      <c r="B27" s="501"/>
      <c r="C27" s="501"/>
      <c r="D27" s="501"/>
      <c r="E27" s="501"/>
      <c r="F27" s="501"/>
      <c r="G27" s="494"/>
      <c r="H27" s="37"/>
    </row>
    <row r="28" spans="1:8" ht="12.75">
      <c r="A28" s="354" t="s">
        <v>370</v>
      </c>
      <c r="B28" s="494">
        <v>0</v>
      </c>
      <c r="C28" s="494">
        <v>17084</v>
      </c>
      <c r="D28" s="494">
        <v>0</v>
      </c>
      <c r="E28" s="494">
        <v>0</v>
      </c>
      <c r="F28" s="494">
        <v>0</v>
      </c>
      <c r="G28" s="498">
        <f>SUM(B28:F28)</f>
        <v>17084</v>
      </c>
      <c r="H28" s="37"/>
    </row>
    <row r="29" spans="1:8" ht="12.75">
      <c r="A29" s="354" t="s">
        <v>371</v>
      </c>
      <c r="B29" s="494">
        <f>'Balance Sheet-1'!D14</f>
        <v>585281.7000000001</v>
      </c>
      <c r="C29" s="494">
        <v>0</v>
      </c>
      <c r="D29" s="494">
        <v>0</v>
      </c>
      <c r="E29" s="494">
        <v>0</v>
      </c>
      <c r="F29" s="494">
        <v>0</v>
      </c>
      <c r="G29" s="498">
        <f>SUM(B29:F29)</f>
        <v>585281.7000000001</v>
      </c>
      <c r="H29" s="37"/>
    </row>
    <row r="30" spans="1:8" ht="12.75" hidden="1">
      <c r="A30" s="354" t="s">
        <v>140</v>
      </c>
      <c r="B30" s="494">
        <v>0</v>
      </c>
      <c r="C30" s="494">
        <v>0</v>
      </c>
      <c r="D30" s="494">
        <v>0</v>
      </c>
      <c r="E30" s="494">
        <v>0</v>
      </c>
      <c r="F30" s="494">
        <v>0</v>
      </c>
      <c r="G30" s="498">
        <f>SUM(B30:F30)</f>
        <v>0</v>
      </c>
      <c r="H30" s="37" t="s">
        <v>103</v>
      </c>
    </row>
    <row r="31" spans="1:8" ht="12.75">
      <c r="A31" s="354" t="s">
        <v>358</v>
      </c>
      <c r="B31" s="496">
        <f aca="true" t="shared" si="4" ref="B31:G31">SUM(B28:B30)</f>
        <v>585281.7000000001</v>
      </c>
      <c r="C31" s="496">
        <f t="shared" si="4"/>
        <v>17084</v>
      </c>
      <c r="D31" s="496">
        <f t="shared" si="4"/>
        <v>0</v>
      </c>
      <c r="E31" s="496">
        <f t="shared" si="4"/>
        <v>0</v>
      </c>
      <c r="F31" s="496">
        <f t="shared" si="4"/>
        <v>0</v>
      </c>
      <c r="G31" s="497">
        <f t="shared" si="4"/>
        <v>602365.7000000001</v>
      </c>
      <c r="H31" s="39"/>
    </row>
    <row r="32" spans="1:8" ht="12.75">
      <c r="A32" s="354"/>
      <c r="B32" s="494"/>
      <c r="C32" s="494"/>
      <c r="D32" s="494"/>
      <c r="E32" s="494"/>
      <c r="F32" s="494"/>
      <c r="G32" s="494"/>
      <c r="H32" s="37"/>
    </row>
    <row r="33" spans="1:8" ht="12.75">
      <c r="A33" s="393" t="s">
        <v>372</v>
      </c>
      <c r="B33" s="501"/>
      <c r="C33" s="501"/>
      <c r="D33" s="501"/>
      <c r="E33" s="501"/>
      <c r="F33" s="501"/>
      <c r="G33" s="494"/>
      <c r="H33" s="37"/>
    </row>
    <row r="34" spans="1:8" ht="12.75">
      <c r="A34" s="354" t="s">
        <v>373</v>
      </c>
      <c r="B34" s="494">
        <f>'(8)Earned Incurred YTD6'!B49</f>
        <v>10038.47</v>
      </c>
      <c r="C34" s="494">
        <f>'(8)Earned Incurred YTD6'!C49</f>
        <v>0</v>
      </c>
      <c r="D34" s="494">
        <v>0</v>
      </c>
      <c r="E34" s="494">
        <v>0</v>
      </c>
      <c r="F34" s="494">
        <v>0</v>
      </c>
      <c r="G34" s="498">
        <f>SUM(B34:F34)</f>
        <v>10038.47</v>
      </c>
      <c r="H34" s="37">
        <f>-G28+G34</f>
        <v>-7045.530000000001</v>
      </c>
    </row>
    <row r="35" spans="1:8" ht="12.75">
      <c r="A35" s="354" t="s">
        <v>374</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358</v>
      </c>
      <c r="B37" s="496">
        <f aca="true" t="shared" si="5" ref="B37:G37">SUM(B34:B36)</f>
        <v>10038.47</v>
      </c>
      <c r="C37" s="496">
        <f t="shared" si="5"/>
        <v>282394</v>
      </c>
      <c r="D37" s="496">
        <f t="shared" si="5"/>
        <v>0</v>
      </c>
      <c r="E37" s="496">
        <f t="shared" si="5"/>
        <v>0</v>
      </c>
      <c r="F37" s="496">
        <f t="shared" si="5"/>
        <v>0</v>
      </c>
      <c r="G37" s="497">
        <f t="shared" si="5"/>
        <v>292432.47</v>
      </c>
      <c r="H37" s="591">
        <f>+G31-G37</f>
        <v>309933.2300000001</v>
      </c>
    </row>
    <row r="38" spans="1:8" ht="12.75">
      <c r="A38" s="354"/>
      <c r="B38" s="494"/>
      <c r="C38" s="494"/>
      <c r="D38" s="494"/>
      <c r="E38" s="494"/>
      <c r="F38" s="494"/>
      <c r="G38" s="503"/>
      <c r="H38" s="39"/>
    </row>
    <row r="39" spans="1:28" s="42" customFormat="1" ht="12.75">
      <c r="A39" s="400" t="s">
        <v>255</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256</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269</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358</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26.25" thickBot="1">
      <c r="A44" s="393" t="s">
        <v>375</v>
      </c>
      <c r="B44" s="500" t="e">
        <f aca="true" t="shared" si="6" ref="B44:G44">B25-B31+B37+B42</f>
        <v>#REF!</v>
      </c>
      <c r="C44" s="500" t="e">
        <f>C25-C31+C37+C42</f>
        <v>#REF!</v>
      </c>
      <c r="D44" s="500" t="e">
        <f t="shared" si="6"/>
        <v>#REF!</v>
      </c>
      <c r="E44" s="500" t="e">
        <f t="shared" si="6"/>
        <v>#REF!</v>
      </c>
      <c r="F44" s="500" t="e">
        <f t="shared" si="6"/>
        <v>#REF!</v>
      </c>
      <c r="G44" s="497" t="e">
        <f t="shared" si="6"/>
        <v>#REF!</v>
      </c>
      <c r="H44" s="592" t="e">
        <f>SUM(H34:H43)</f>
        <v>#REF!</v>
      </c>
    </row>
    <row r="45" spans="1:8" ht="13.5" thickTop="1">
      <c r="A45" s="354"/>
      <c r="B45" s="494"/>
      <c r="C45" s="494"/>
      <c r="D45" s="494"/>
      <c r="E45" s="494"/>
      <c r="F45" s="494"/>
      <c r="G45" s="494"/>
      <c r="H45" s="37"/>
    </row>
    <row r="46" spans="1:8" ht="12.75">
      <c r="A46" s="402" t="s">
        <v>170</v>
      </c>
      <c r="B46" s="494"/>
      <c r="C46" s="494"/>
      <c r="D46" s="494"/>
      <c r="E46" s="494"/>
      <c r="F46" s="494"/>
      <c r="G46" s="494"/>
      <c r="H46" s="37"/>
    </row>
    <row r="47" spans="1:8" ht="12.75">
      <c r="A47" s="354" t="s">
        <v>333</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376</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377</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378</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379</v>
      </c>
      <c r="B51" s="494">
        <f>'(8)Earned Incurred YTD6'!B32</f>
        <v>17092.15</v>
      </c>
      <c r="C51" s="494">
        <f>'(8)Earned Incurred YTD6'!C32</f>
        <v>0</v>
      </c>
      <c r="D51" s="494">
        <v>0</v>
      </c>
      <c r="E51" s="494">
        <v>0</v>
      </c>
      <c r="F51" s="346">
        <v>0</v>
      </c>
      <c r="G51" s="498">
        <f>SUM(B51:F51)</f>
        <v>17092.15</v>
      </c>
      <c r="H51" s="37">
        <f>+'(8)Earned Incurred YTD6'!B32</f>
        <v>17092.15</v>
      </c>
    </row>
    <row r="52" spans="1:9" ht="12.75">
      <c r="A52" s="403" t="s">
        <v>358</v>
      </c>
      <c r="B52" s="496">
        <f>SUM(B47:B51)-1</f>
        <v>13733073.78183647</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171</v>
      </c>
      <c r="B54" s="507"/>
      <c r="C54" s="507"/>
      <c r="D54" s="507"/>
      <c r="E54" s="507"/>
      <c r="F54" s="494"/>
      <c r="G54" s="494"/>
      <c r="H54" s="37"/>
    </row>
    <row r="55" spans="1:8" ht="12.75">
      <c r="A55" s="354" t="s">
        <v>333</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376</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380</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378</v>
      </c>
      <c r="B58" s="494">
        <v>0</v>
      </c>
      <c r="C58" s="494">
        <f>+'(8)Earned Incurred YTD6'!B42</f>
        <v>356304</v>
      </c>
      <c r="D58" s="494">
        <v>0</v>
      </c>
      <c r="E58" s="494">
        <v>0</v>
      </c>
      <c r="F58" s="494">
        <v>0</v>
      </c>
      <c r="G58" s="498">
        <f>SUM(B58:F58)</f>
        <v>356304</v>
      </c>
      <c r="H58" s="37">
        <f>+'(8)Earned Incurred YTD6'!B42</f>
        <v>356304</v>
      </c>
    </row>
    <row r="59" spans="1:8" ht="12.75">
      <c r="A59" s="354" t="s">
        <v>379</v>
      </c>
      <c r="B59" s="494">
        <v>0</v>
      </c>
      <c r="C59" s="494">
        <f>+'(8)Earned Incurred YTD6'!B33</f>
        <v>46320</v>
      </c>
      <c r="D59" s="494">
        <v>0</v>
      </c>
      <c r="E59" s="494">
        <v>0</v>
      </c>
      <c r="F59" s="494">
        <v>0</v>
      </c>
      <c r="G59" s="498">
        <f>SUM(B59:F59)</f>
        <v>46320</v>
      </c>
      <c r="H59" s="37">
        <f>+'(8)Earned Incurred YTD6'!B33</f>
        <v>46320</v>
      </c>
    </row>
    <row r="60" spans="1:8" ht="12.75">
      <c r="A60" s="354" t="s">
        <v>358</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381</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4"/>
      <c r="H63" s="44" t="e">
        <f>+G62-H62</f>
        <v>#REF!</v>
      </c>
      <c r="I63" s="345"/>
    </row>
    <row r="64" spans="1:9" ht="12.75">
      <c r="A64" s="354"/>
      <c r="B64" s="404"/>
      <c r="C64" s="404"/>
      <c r="D64" s="404"/>
      <c r="E64" s="404"/>
      <c r="F64" s="397"/>
      <c r="G64" s="594"/>
      <c r="I64" s="44"/>
    </row>
    <row r="65" spans="1:7" ht="12.75">
      <c r="A65" s="354"/>
      <c r="B65" s="404"/>
      <c r="C65" s="404"/>
      <c r="D65" s="404"/>
      <c r="E65" s="404"/>
      <c r="F65" s="397"/>
      <c r="G65" s="753"/>
    </row>
    <row r="66" ht="12.75">
      <c r="G66" s="593"/>
    </row>
    <row r="67" ht="12.75">
      <c r="J67" s="116"/>
    </row>
    <row r="68" ht="12.75">
      <c r="J68" s="354"/>
    </row>
  </sheetData>
  <sheetProtection/>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H58"/>
  <sheetViews>
    <sheetView tabSelected="1" zoomScalePageLayoutView="0" workbookViewId="0" topLeftCell="A1">
      <selection activeCell="A1" sqref="A1:E1"/>
    </sheetView>
  </sheetViews>
  <sheetFormatPr defaultColWidth="15.7109375" defaultRowHeight="15" customHeight="1"/>
  <cols>
    <col min="1" max="1" width="52.57421875" style="14" customWidth="1"/>
    <col min="2" max="4" width="15.7109375" style="478" customWidth="1"/>
    <col min="5" max="5" width="20.57421875" style="478" bestFit="1" customWidth="1"/>
    <col min="6" max="16384" width="15.7109375" style="14" customWidth="1"/>
  </cols>
  <sheetData>
    <row r="1" spans="1:5" s="11" customFormat="1" ht="30" customHeight="1">
      <c r="A1" s="966" t="s">
        <v>320</v>
      </c>
      <c r="B1" s="966"/>
      <c r="C1" s="966"/>
      <c r="D1" s="966"/>
      <c r="E1" s="966"/>
    </row>
    <row r="2" spans="1:5" s="11" customFormat="1" ht="15" customHeight="1">
      <c r="A2" s="958"/>
      <c r="B2" s="958"/>
      <c r="C2" s="958"/>
      <c r="D2" s="958"/>
      <c r="E2" s="958"/>
    </row>
    <row r="3" spans="1:5" s="12" customFormat="1" ht="15" customHeight="1">
      <c r="A3" s="967" t="s">
        <v>275</v>
      </c>
      <c r="B3" s="967"/>
      <c r="C3" s="967"/>
      <c r="D3" s="967"/>
      <c r="E3" s="967"/>
    </row>
    <row r="4" spans="1:5" s="12" customFormat="1" ht="15" customHeight="1">
      <c r="A4" s="968" t="s">
        <v>0</v>
      </c>
      <c r="B4" s="968"/>
      <c r="C4" s="968"/>
      <c r="D4" s="968"/>
      <c r="E4" s="968"/>
    </row>
    <row r="5" spans="1:5" s="12" customFormat="1" ht="15" customHeight="1">
      <c r="A5" s="768"/>
      <c r="B5" s="768"/>
      <c r="C5" s="768"/>
      <c r="D5" s="768"/>
      <c r="E5" s="768"/>
    </row>
    <row r="6" spans="1:5" ht="45" customHeight="1">
      <c r="A6" s="805"/>
      <c r="B6" s="888" t="s">
        <v>276</v>
      </c>
      <c r="C6" s="888" t="s">
        <v>277</v>
      </c>
      <c r="D6" s="888" t="s">
        <v>278</v>
      </c>
      <c r="E6" s="888" t="s">
        <v>279</v>
      </c>
    </row>
    <row r="7" spans="1:5" ht="15" customHeight="1">
      <c r="A7" s="806" t="s">
        <v>322</v>
      </c>
      <c r="B7" s="473"/>
      <c r="C7" s="473"/>
      <c r="D7" s="473"/>
      <c r="E7" s="473"/>
    </row>
    <row r="8" spans="1:5" ht="15" customHeight="1">
      <c r="A8" s="810" t="s">
        <v>68</v>
      </c>
      <c r="B8" s="474">
        <f>'[7]2Q09 Trial Balance'!F17+'[7]2Q09 Trial Balance'!F21</f>
        <v>13672625.82</v>
      </c>
      <c r="C8" s="481">
        <v>0</v>
      </c>
      <c r="D8" s="481">
        <v>0</v>
      </c>
      <c r="E8" s="474">
        <f>SUM(B8:D8)</f>
        <v>13672625.82</v>
      </c>
    </row>
    <row r="9" spans="1:5" ht="15" customHeight="1">
      <c r="A9" s="810" t="s">
        <v>323</v>
      </c>
      <c r="B9" s="482">
        <v>0</v>
      </c>
      <c r="C9" s="482">
        <f>'[7]2Q09 Trial Balance'!F24</f>
        <v>42677.83</v>
      </c>
      <c r="D9" s="482">
        <v>0</v>
      </c>
      <c r="E9" s="482">
        <f>SUM(B9:D9)</f>
        <v>42677.83</v>
      </c>
    </row>
    <row r="10" spans="1:5" ht="15" customHeight="1">
      <c r="A10" s="810" t="s">
        <v>324</v>
      </c>
      <c r="B10" s="482">
        <f>127785.72-59380.72</f>
        <v>68405</v>
      </c>
      <c r="C10" s="482">
        <v>0</v>
      </c>
      <c r="D10" s="482">
        <f>B10</f>
        <v>68405</v>
      </c>
      <c r="E10" s="482">
        <f>+B10-D10</f>
        <v>0</v>
      </c>
    </row>
    <row r="11" spans="1:7" ht="15" customHeight="1">
      <c r="A11" s="810" t="s">
        <v>69</v>
      </c>
      <c r="B11" s="482">
        <f>926296.38-555301.43+192708.02-86231.3+39350.62-12461.02+'[7]2Q09 Trial Balance'!F36+'[7]2Q09 Trial Balance'!F40+'[7]2Q09 Trial Balance'!F56-1</f>
        <v>579038.01</v>
      </c>
      <c r="C11" s="482">
        <v>0</v>
      </c>
      <c r="D11" s="482">
        <f>926296.38-555301.43+192708.02-86231.3+39350.62-12461.02</f>
        <v>504361.26999999996</v>
      </c>
      <c r="E11" s="482">
        <f>B11-D11</f>
        <v>74676.74000000005</v>
      </c>
      <c r="F11" s="902"/>
      <c r="G11" s="813"/>
    </row>
    <row r="12" spans="1:5" ht="15" customHeight="1">
      <c r="A12" s="810" t="s">
        <v>327</v>
      </c>
      <c r="B12" s="482">
        <f>77363.16-69958.13</f>
        <v>7405.029999999999</v>
      </c>
      <c r="C12" s="482">
        <v>0</v>
      </c>
      <c r="D12" s="482">
        <f>B12</f>
        <v>7405.029999999999</v>
      </c>
      <c r="E12" s="482">
        <f>+B12-D12</f>
        <v>0</v>
      </c>
    </row>
    <row r="13" spans="1:6" ht="15" customHeight="1">
      <c r="A13" s="810" t="s">
        <v>63</v>
      </c>
      <c r="B13" s="482">
        <f>'[7]2Q09 Trial Balance'!F28+5093.4+18</f>
        <v>24411.93</v>
      </c>
      <c r="C13" s="482">
        <v>0</v>
      </c>
      <c r="D13" s="482">
        <f>5093.4+18</f>
        <v>5111.4</v>
      </c>
      <c r="E13" s="482">
        <f>+B13-C13-D13</f>
        <v>19300.53</v>
      </c>
      <c r="F13" s="813"/>
    </row>
    <row r="14" spans="1:5" ht="15" customHeight="1">
      <c r="A14" s="807" t="s">
        <v>328</v>
      </c>
      <c r="B14" s="475">
        <f>SUM(B8:B13)</f>
        <v>14351885.79</v>
      </c>
      <c r="C14" s="475">
        <f>SUM(C8:C13)</f>
        <v>42677.83</v>
      </c>
      <c r="D14" s="475">
        <f>SUM(D8:D13)-1</f>
        <v>585281.7000000001</v>
      </c>
      <c r="E14" s="475">
        <f>SUM(E8:E13)+1</f>
        <v>13809281.92</v>
      </c>
    </row>
    <row r="15" spans="1:5" ht="15" customHeight="1">
      <c r="A15" s="808"/>
      <c r="B15" s="476"/>
      <c r="C15" s="476"/>
      <c r="D15" s="476"/>
      <c r="E15" s="476"/>
    </row>
    <row r="16" spans="1:5" ht="15" customHeight="1">
      <c r="A16" s="809" t="s">
        <v>329</v>
      </c>
      <c r="B16" s="476"/>
      <c r="C16" s="476"/>
      <c r="D16" s="476"/>
      <c r="E16" s="476"/>
    </row>
    <row r="17" spans="1:5" ht="15" customHeight="1">
      <c r="A17" s="810" t="s">
        <v>35</v>
      </c>
      <c r="B17" s="476"/>
      <c r="C17" s="477"/>
      <c r="D17" s="485">
        <f>-'[7]2Q09 Trial Balance'!F193</f>
        <v>2295924</v>
      </c>
      <c r="E17" s="476"/>
    </row>
    <row r="18" spans="1:5" ht="15" customHeight="1">
      <c r="A18" s="810" t="s">
        <v>36</v>
      </c>
      <c r="B18" s="476"/>
      <c r="C18" s="477"/>
      <c r="D18" s="485">
        <f>-'[7]2Q09 Trial Balance'!F196</f>
        <v>1748970</v>
      </c>
      <c r="E18" s="476"/>
    </row>
    <row r="19" spans="1:5" ht="15" customHeight="1">
      <c r="A19" s="810" t="s">
        <v>142</v>
      </c>
      <c r="B19" s="476"/>
      <c r="C19" s="477"/>
      <c r="D19" s="485">
        <f>-'[7]2Q09 Trial Balance'!F190</f>
        <v>286917.78</v>
      </c>
      <c r="E19" s="476"/>
    </row>
    <row r="20" spans="1:5" ht="15" customHeight="1">
      <c r="A20" s="810" t="s">
        <v>87</v>
      </c>
      <c r="B20" s="476"/>
      <c r="C20" s="477"/>
      <c r="D20" s="485">
        <f>-'[7]2Q09 Trial Balance'!F199</f>
        <v>296291.75</v>
      </c>
      <c r="E20" s="476"/>
    </row>
    <row r="21" spans="1:5" ht="15" customHeight="1">
      <c r="A21" s="810" t="s">
        <v>147</v>
      </c>
      <c r="B21" s="476"/>
      <c r="C21" s="538"/>
      <c r="D21" s="485">
        <f>-'[7]2Q09 Trial Balance'!F206</f>
        <v>159361.45</v>
      </c>
      <c r="E21" s="485"/>
    </row>
    <row r="22" spans="1:5" ht="15" customHeight="1">
      <c r="A22" s="810" t="s">
        <v>46</v>
      </c>
      <c r="B22" s="476"/>
      <c r="C22" s="538"/>
      <c r="D22" s="485">
        <f>-'[7]2Q09 Trial Balance'!F152</f>
        <v>13054.39</v>
      </c>
      <c r="E22" s="485"/>
    </row>
    <row r="23" spans="1:5" ht="15" customHeight="1">
      <c r="A23" s="810" t="s">
        <v>148</v>
      </c>
      <c r="B23" s="476"/>
      <c r="C23" s="477"/>
      <c r="D23" s="484">
        <f>-'[7]2Q09 Trial Balance'!F149</f>
        <v>17032.33</v>
      </c>
      <c r="E23" s="477"/>
    </row>
    <row r="24" spans="1:5" ht="15" customHeight="1">
      <c r="A24" s="810"/>
      <c r="B24" s="357"/>
      <c r="C24" s="476"/>
      <c r="D24" s="476"/>
      <c r="E24" s="485"/>
    </row>
    <row r="25" spans="1:5" ht="15" customHeight="1">
      <c r="A25" s="807" t="s">
        <v>331</v>
      </c>
      <c r="B25" s="476"/>
      <c r="C25" s="476"/>
      <c r="D25" s="476"/>
      <c r="E25" s="486">
        <f>SUM(D17:D24)-1</f>
        <v>4817550.7</v>
      </c>
    </row>
    <row r="26" spans="1:5" ht="15" customHeight="1">
      <c r="A26" s="808"/>
      <c r="B26" s="476"/>
      <c r="C26" s="476"/>
      <c r="D26" s="476"/>
      <c r="E26" s="476"/>
    </row>
    <row r="27" spans="1:5" ht="15" customHeight="1">
      <c r="A27" s="809" t="s">
        <v>332</v>
      </c>
      <c r="B27" s="476"/>
      <c r="C27" s="476"/>
      <c r="D27" s="476"/>
      <c r="E27" s="476"/>
    </row>
    <row r="28" spans="1:5" ht="15" customHeight="1">
      <c r="A28" s="810" t="s">
        <v>333</v>
      </c>
      <c r="B28" s="476"/>
      <c r="C28" s="477"/>
      <c r="D28" s="485">
        <f>-'[7]2Q09 Trial Balance'!F72+1</f>
        <v>6636419.08</v>
      </c>
      <c r="E28" s="476"/>
    </row>
    <row r="29" spans="1:7" ht="15" customHeight="1">
      <c r="A29" s="810" t="s">
        <v>139</v>
      </c>
      <c r="B29" s="476"/>
      <c r="C29" s="477"/>
      <c r="D29" s="485">
        <f>-'[7]2Q09 Trial Balance'!F90</f>
        <v>2209558.85</v>
      </c>
      <c r="E29" s="485"/>
      <c r="F29" s="24"/>
      <c r="G29" s="906"/>
    </row>
    <row r="30" spans="1:7" ht="15" customHeight="1">
      <c r="A30" s="810" t="s">
        <v>138</v>
      </c>
      <c r="B30" s="476"/>
      <c r="C30" s="477"/>
      <c r="D30" s="485">
        <f>-'[7]2Q09 Trial Balance'!F101</f>
        <v>159819</v>
      </c>
      <c r="E30" s="485"/>
      <c r="F30" s="24"/>
      <c r="G30" s="906"/>
    </row>
    <row r="31" spans="1:7" ht="15" customHeight="1">
      <c r="A31" s="810" t="s">
        <v>143</v>
      </c>
      <c r="B31" s="476"/>
      <c r="C31" s="477"/>
      <c r="D31" s="485">
        <f>-'[7]2Q09 Trial Balance'!F121</f>
        <v>260971.99999999997</v>
      </c>
      <c r="E31" s="485"/>
      <c r="F31" s="24"/>
      <c r="G31" s="906"/>
    </row>
    <row r="32" spans="1:8" ht="15" customHeight="1">
      <c r="A32" s="810" t="s">
        <v>144</v>
      </c>
      <c r="B32" s="477"/>
      <c r="C32" s="477"/>
      <c r="D32" s="485">
        <f>-'[7]2Q09 Trial Balance'!F139-1</f>
        <v>76277.54</v>
      </c>
      <c r="E32" s="485"/>
      <c r="F32" s="24"/>
      <c r="G32" s="24"/>
      <c r="H32" s="24"/>
    </row>
    <row r="33" spans="1:5" ht="15" customHeight="1">
      <c r="A33" s="810" t="s">
        <v>172</v>
      </c>
      <c r="B33" s="476"/>
      <c r="C33" s="477"/>
      <c r="D33" s="122">
        <f>-'[7]2Q09 Trial Balance'!F161</f>
        <v>178226.86000000002</v>
      </c>
      <c r="E33" s="476"/>
    </row>
    <row r="34" spans="1:5" ht="15" customHeight="1">
      <c r="A34" s="810" t="s">
        <v>166</v>
      </c>
      <c r="B34" s="476"/>
      <c r="C34" s="476"/>
      <c r="D34" s="484">
        <f>-'[7]2Q09 Trial Balance'!F145</f>
        <v>17092.15</v>
      </c>
      <c r="E34" s="476"/>
    </row>
    <row r="35" spans="1:5" ht="15" customHeight="1">
      <c r="A35" s="810"/>
      <c r="B35" s="476"/>
      <c r="C35" s="476"/>
      <c r="D35" s="476"/>
      <c r="E35" s="476"/>
    </row>
    <row r="36" spans="1:5" ht="15" customHeight="1">
      <c r="A36" s="811" t="s">
        <v>450</v>
      </c>
      <c r="B36" s="476"/>
      <c r="C36" s="476"/>
      <c r="D36" s="477"/>
      <c r="E36" s="486">
        <f>SUM(D28:D34)+1</f>
        <v>9538366.479999999</v>
      </c>
    </row>
    <row r="37" spans="1:5" ht="15" customHeight="1">
      <c r="A37" s="811"/>
      <c r="B37" s="476"/>
      <c r="C37" s="476"/>
      <c r="D37" s="477"/>
      <c r="E37" s="479"/>
    </row>
    <row r="38" spans="1:5" ht="15" customHeight="1">
      <c r="A38" s="807" t="s">
        <v>335</v>
      </c>
      <c r="B38" s="476"/>
      <c r="C38" s="476"/>
      <c r="D38" s="477"/>
      <c r="E38" s="487">
        <f>E36+E25</f>
        <v>14355917.18</v>
      </c>
    </row>
    <row r="39" spans="1:5" ht="15" customHeight="1">
      <c r="A39" s="808"/>
      <c r="B39" s="476"/>
      <c r="C39" s="476"/>
      <c r="D39" s="477"/>
      <c r="E39" s="476"/>
    </row>
    <row r="40" spans="1:5" ht="15" customHeight="1">
      <c r="A40" s="809" t="s">
        <v>336</v>
      </c>
      <c r="B40" s="476"/>
      <c r="C40" s="476"/>
      <c r="D40" s="477"/>
      <c r="E40" s="476"/>
    </row>
    <row r="41" spans="1:7" ht="15" customHeight="1">
      <c r="A41" s="810" t="s">
        <v>1</v>
      </c>
      <c r="B41" s="476"/>
      <c r="C41" s="476"/>
      <c r="D41" s="477"/>
      <c r="E41" s="924">
        <f>+E14-E38</f>
        <v>-546635.2599999998</v>
      </c>
      <c r="F41" s="812"/>
      <c r="G41" s="813"/>
    </row>
    <row r="42" spans="1:5" ht="15" customHeight="1">
      <c r="A42" s="808"/>
      <c r="B42" s="477"/>
      <c r="C42" s="477"/>
      <c r="D42" s="477"/>
      <c r="E42" s="476"/>
    </row>
    <row r="43" spans="1:7" ht="15" customHeight="1" thickBot="1">
      <c r="A43" s="811" t="s">
        <v>337</v>
      </c>
      <c r="B43" s="476"/>
      <c r="C43" s="476"/>
      <c r="D43" s="476"/>
      <c r="E43" s="480">
        <f>E38+E41</f>
        <v>13809281.92</v>
      </c>
      <c r="F43" s="902"/>
      <c r="G43" s="374"/>
    </row>
    <row r="44" spans="1:6" ht="15" customHeight="1" thickTop="1">
      <c r="A44" s="15"/>
      <c r="B44" s="472"/>
      <c r="C44" s="472"/>
      <c r="D44" s="472"/>
      <c r="E44" s="472"/>
      <c r="F44" s="374"/>
    </row>
    <row r="53" spans="1:5" ht="15" customHeight="1">
      <c r="A53" s="803"/>
      <c r="E53" s="804"/>
    </row>
    <row r="57" spans="1:5" s="803" customFormat="1" ht="15" customHeight="1">
      <c r="A57" s="931"/>
      <c r="B57" s="932"/>
      <c r="C57" s="932"/>
      <c r="D57" s="932"/>
      <c r="E57" s="933"/>
    </row>
    <row r="58" spans="1:5" s="939" customFormat="1" ht="15" customHeight="1">
      <c r="A58" s="939" t="s">
        <v>500</v>
      </c>
      <c r="B58" s="940"/>
      <c r="C58" s="940"/>
      <c r="E58" s="941">
        <v>40022</v>
      </c>
    </row>
  </sheetData>
  <sheetProtection/>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6.xml><?xml version="1.0" encoding="utf-8"?>
<worksheet xmlns="http://schemas.openxmlformats.org/spreadsheetml/2006/main" xmlns:r="http://schemas.openxmlformats.org/officeDocument/2006/relationships">
  <dimension ref="A1:IV154"/>
  <sheetViews>
    <sheetView zoomScale="75" zoomScaleNormal="75" zoomScalePageLayoutView="0"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76" t="s">
        <v>320</v>
      </c>
      <c r="B1" s="977"/>
      <c r="C1" s="977"/>
      <c r="D1" s="978"/>
      <c r="E1" s="970"/>
      <c r="F1" s="970"/>
      <c r="G1" s="970"/>
      <c r="H1" s="971"/>
      <c r="I1" s="45"/>
      <c r="J1" s="45"/>
      <c r="K1" s="45"/>
      <c r="L1" s="45"/>
      <c r="M1" s="969"/>
      <c r="N1" s="970"/>
      <c r="O1" s="970"/>
      <c r="P1" s="971"/>
      <c r="Q1" s="969"/>
      <c r="R1" s="970"/>
      <c r="S1" s="970"/>
      <c r="T1" s="971"/>
      <c r="U1" s="969"/>
      <c r="V1" s="970"/>
      <c r="W1" s="970"/>
      <c r="X1" s="971"/>
      <c r="Y1" s="969"/>
      <c r="Z1" s="970"/>
      <c r="AA1" s="970"/>
      <c r="AB1" s="971"/>
      <c r="AC1" s="969"/>
      <c r="AD1" s="970"/>
      <c r="AE1" s="970"/>
      <c r="AF1" s="971"/>
      <c r="AG1" s="969"/>
      <c r="AH1" s="970"/>
      <c r="AI1" s="970"/>
      <c r="AJ1" s="971"/>
      <c r="AK1" s="969"/>
      <c r="AL1" s="970"/>
      <c r="AM1" s="970"/>
      <c r="AN1" s="971"/>
      <c r="AO1" s="969"/>
      <c r="AP1" s="970"/>
      <c r="AQ1" s="970"/>
      <c r="AR1" s="971"/>
      <c r="AS1" s="969"/>
      <c r="AT1" s="970"/>
      <c r="AU1" s="970"/>
      <c r="AV1" s="971"/>
      <c r="AW1" s="969"/>
      <c r="AX1" s="970"/>
      <c r="AY1" s="970"/>
      <c r="AZ1" s="971"/>
      <c r="BA1" s="969"/>
      <c r="BB1" s="970"/>
      <c r="BC1" s="970"/>
      <c r="BD1" s="971"/>
      <c r="BE1" s="969"/>
      <c r="BF1" s="970"/>
      <c r="BG1" s="970"/>
      <c r="BH1" s="971"/>
      <c r="BI1" s="969"/>
      <c r="BJ1" s="970"/>
      <c r="BK1" s="970"/>
      <c r="BL1" s="971"/>
      <c r="BM1" s="969"/>
      <c r="BN1" s="970"/>
      <c r="BO1" s="970"/>
      <c r="BP1" s="971"/>
      <c r="BQ1" s="969"/>
      <c r="BR1" s="970"/>
      <c r="BS1" s="970"/>
      <c r="BT1" s="971"/>
      <c r="BU1" s="969"/>
      <c r="BV1" s="970"/>
      <c r="BW1" s="970"/>
      <c r="BX1" s="971"/>
      <c r="BY1" s="969"/>
      <c r="BZ1" s="970"/>
      <c r="CA1" s="970"/>
      <c r="CB1" s="971"/>
      <c r="CC1" s="969"/>
      <c r="CD1" s="970"/>
      <c r="CE1" s="970"/>
      <c r="CF1" s="971"/>
      <c r="CG1" s="969"/>
      <c r="CH1" s="970"/>
      <c r="CI1" s="970"/>
      <c r="CJ1" s="971"/>
      <c r="CK1" s="969"/>
      <c r="CL1" s="970"/>
      <c r="CM1" s="970"/>
      <c r="CN1" s="971"/>
      <c r="CO1" s="969"/>
      <c r="CP1" s="970"/>
      <c r="CQ1" s="970"/>
      <c r="CR1" s="971"/>
      <c r="CS1" s="969"/>
      <c r="CT1" s="970"/>
      <c r="CU1" s="970"/>
      <c r="CV1" s="971"/>
      <c r="CW1" s="969"/>
      <c r="CX1" s="970"/>
      <c r="CY1" s="970"/>
      <c r="CZ1" s="971"/>
      <c r="DA1" s="969"/>
      <c r="DB1" s="970"/>
      <c r="DC1" s="970"/>
      <c r="DD1" s="971"/>
      <c r="DE1" s="969"/>
      <c r="DF1" s="970"/>
      <c r="DG1" s="970"/>
      <c r="DH1" s="971"/>
      <c r="DI1" s="969"/>
      <c r="DJ1" s="970"/>
      <c r="DK1" s="970"/>
      <c r="DL1" s="971"/>
      <c r="DM1" s="969"/>
      <c r="DN1" s="970"/>
      <c r="DO1" s="970"/>
      <c r="DP1" s="971"/>
      <c r="DQ1" s="969"/>
      <c r="DR1" s="970"/>
      <c r="DS1" s="970"/>
      <c r="DT1" s="971"/>
      <c r="DU1" s="969"/>
      <c r="DV1" s="970"/>
      <c r="DW1" s="970"/>
      <c r="DX1" s="971"/>
      <c r="DY1" s="969"/>
      <c r="DZ1" s="970"/>
      <c r="EA1" s="970"/>
      <c r="EB1" s="971"/>
      <c r="EC1" s="969"/>
      <c r="ED1" s="970"/>
      <c r="EE1" s="970"/>
      <c r="EF1" s="971"/>
      <c r="EG1" s="969"/>
      <c r="EH1" s="970"/>
      <c r="EI1" s="970"/>
      <c r="EJ1" s="971"/>
      <c r="EK1" s="969"/>
      <c r="EL1" s="970"/>
      <c r="EM1" s="970"/>
      <c r="EN1" s="971"/>
      <c r="EO1" s="969"/>
      <c r="EP1" s="970"/>
      <c r="EQ1" s="970"/>
      <c r="ER1" s="971"/>
      <c r="ES1" s="969"/>
      <c r="ET1" s="970"/>
      <c r="EU1" s="970"/>
      <c r="EV1" s="971"/>
      <c r="EW1" s="969"/>
      <c r="EX1" s="970"/>
      <c r="EY1" s="970"/>
      <c r="EZ1" s="971"/>
      <c r="FA1" s="969"/>
      <c r="FB1" s="970"/>
      <c r="FC1" s="970"/>
      <c r="FD1" s="971"/>
      <c r="FE1" s="969"/>
      <c r="FF1" s="970"/>
      <c r="FG1" s="970"/>
      <c r="FH1" s="971"/>
      <c r="FI1" s="969"/>
      <c r="FJ1" s="970"/>
      <c r="FK1" s="970"/>
      <c r="FL1" s="971"/>
      <c r="FM1" s="969"/>
      <c r="FN1" s="970"/>
      <c r="FO1" s="970"/>
      <c r="FP1" s="971"/>
      <c r="FQ1" s="969"/>
      <c r="FR1" s="970"/>
      <c r="FS1" s="970"/>
      <c r="FT1" s="971"/>
      <c r="FU1" s="969"/>
      <c r="FV1" s="970"/>
      <c r="FW1" s="970"/>
      <c r="FX1" s="971"/>
      <c r="FY1" s="969"/>
      <c r="FZ1" s="970"/>
      <c r="GA1" s="970"/>
      <c r="GB1" s="971"/>
      <c r="GC1" s="969"/>
      <c r="GD1" s="970"/>
      <c r="GE1" s="970"/>
      <c r="GF1" s="971"/>
      <c r="GG1" s="969"/>
      <c r="GH1" s="970"/>
      <c r="GI1" s="970"/>
      <c r="GJ1" s="971"/>
      <c r="GK1" s="969"/>
      <c r="GL1" s="970"/>
      <c r="GM1" s="970"/>
      <c r="GN1" s="971"/>
      <c r="GO1" s="969"/>
      <c r="GP1" s="970"/>
      <c r="GQ1" s="970"/>
      <c r="GR1" s="971"/>
      <c r="GS1" s="969"/>
      <c r="GT1" s="970"/>
      <c r="GU1" s="970"/>
      <c r="GV1" s="971"/>
      <c r="GW1" s="969"/>
      <c r="GX1" s="970"/>
      <c r="GY1" s="970"/>
      <c r="GZ1" s="971"/>
      <c r="HA1" s="969"/>
      <c r="HB1" s="970"/>
      <c r="HC1" s="970"/>
      <c r="HD1" s="971"/>
      <c r="HE1" s="969"/>
      <c r="HF1" s="970"/>
      <c r="HG1" s="970"/>
      <c r="HH1" s="971"/>
      <c r="HI1" s="969"/>
      <c r="HJ1" s="970"/>
      <c r="HK1" s="970"/>
      <c r="HL1" s="971"/>
      <c r="HM1" s="969"/>
      <c r="HN1" s="970"/>
      <c r="HO1" s="970"/>
      <c r="HP1" s="971"/>
      <c r="HQ1" s="969"/>
      <c r="HR1" s="970"/>
      <c r="HS1" s="970"/>
      <c r="HT1" s="971"/>
      <c r="HU1" s="969"/>
      <c r="HV1" s="970"/>
      <c r="HW1" s="970"/>
      <c r="HX1" s="971"/>
      <c r="HY1" s="969"/>
      <c r="HZ1" s="970"/>
      <c r="IA1" s="970"/>
      <c r="IB1" s="971"/>
      <c r="IC1" s="969"/>
      <c r="ID1" s="970"/>
      <c r="IE1" s="970"/>
      <c r="IF1" s="971"/>
      <c r="IG1" s="969"/>
      <c r="IH1" s="970"/>
      <c r="II1" s="970"/>
      <c r="IJ1" s="971"/>
      <c r="IK1" s="969"/>
      <c r="IL1" s="970"/>
      <c r="IM1" s="970"/>
      <c r="IN1" s="971"/>
      <c r="IO1" s="969"/>
      <c r="IP1" s="970"/>
      <c r="IQ1" s="970"/>
      <c r="IR1" s="971"/>
      <c r="IS1" s="969"/>
      <c r="IT1" s="970"/>
      <c r="IU1" s="970"/>
      <c r="IV1" s="971"/>
    </row>
    <row r="2" spans="1:6" s="45" customFormat="1" ht="18" customHeight="1">
      <c r="A2" s="957"/>
      <c r="B2" s="958"/>
      <c r="C2" s="958"/>
      <c r="D2" s="979"/>
      <c r="F2" s="288"/>
    </row>
    <row r="3" spans="1:6" s="45" customFormat="1" ht="18.75">
      <c r="A3" s="973" t="s">
        <v>283</v>
      </c>
      <c r="B3" s="974"/>
      <c r="C3" s="974"/>
      <c r="D3" s="975"/>
      <c r="F3" s="288"/>
    </row>
    <row r="4" spans="1:6" s="45" customFormat="1" ht="18.75">
      <c r="A4" s="973" t="s">
        <v>382</v>
      </c>
      <c r="B4" s="974"/>
      <c r="C4" s="974"/>
      <c r="D4" s="975"/>
      <c r="F4" s="288"/>
    </row>
    <row r="5" spans="1:6" s="45" customFormat="1" ht="18.75">
      <c r="A5" s="973" t="str">
        <f>+'(9)Equity YTD4'!A4</f>
        <v>YTD PERIOD MARCH 31st, 2004</v>
      </c>
      <c r="B5" s="974"/>
      <c r="C5" s="974"/>
      <c r="D5" s="975"/>
      <c r="F5" s="288"/>
    </row>
    <row r="6" spans="1:6" s="18" customFormat="1" ht="15" customHeight="1">
      <c r="A6" s="415"/>
      <c r="B6" s="519"/>
      <c r="C6" s="519"/>
      <c r="D6" s="520"/>
      <c r="F6" s="22"/>
    </row>
    <row r="7" spans="1:6" s="18" customFormat="1" ht="15">
      <c r="A7" s="416" t="s">
        <v>383</v>
      </c>
      <c r="B7" s="521" t="str">
        <f>+'Earned Incurred QTD-5'!B8</f>
        <v>06-30-09</v>
      </c>
      <c r="C7" s="522"/>
      <c r="D7" s="523"/>
      <c r="F7" s="289" t="s">
        <v>427</v>
      </c>
    </row>
    <row r="8" spans="1:6" s="18" customFormat="1" ht="15">
      <c r="A8" s="416"/>
      <c r="B8" s="524" t="s">
        <v>88</v>
      </c>
      <c r="C8" s="525"/>
      <c r="D8" s="526"/>
      <c r="F8" s="290" t="s">
        <v>259</v>
      </c>
    </row>
    <row r="9" spans="1:6" s="18" customFormat="1" ht="15">
      <c r="A9" s="417"/>
      <c r="B9" s="527" t="s">
        <v>330</v>
      </c>
      <c r="C9" s="528"/>
      <c r="D9" s="529"/>
      <c r="F9" s="22"/>
    </row>
    <row r="10" spans="1:6" s="18" customFormat="1" ht="15">
      <c r="A10" s="418" t="s">
        <v>384</v>
      </c>
      <c r="B10" s="530"/>
      <c r="C10" s="477" t="e">
        <f>'(7)Premiums YTD8'!G12</f>
        <v>#REF!</v>
      </c>
      <c r="D10" s="531"/>
      <c r="E10" s="127">
        <v>16190670</v>
      </c>
      <c r="F10" s="22">
        <v>41000</v>
      </c>
    </row>
    <row r="11" spans="1:6" s="18" customFormat="1" ht="15">
      <c r="A11" s="418"/>
      <c r="B11" s="530"/>
      <c r="C11" s="476"/>
      <c r="D11" s="531"/>
      <c r="F11" s="22"/>
    </row>
    <row r="12" spans="1:6" s="18" customFormat="1" ht="14.25">
      <c r="A12" s="419" t="s">
        <v>385</v>
      </c>
      <c r="B12" s="509" t="e">
        <f>'(7)Premiums YTD8'!G18</f>
        <v>#REF!</v>
      </c>
      <c r="C12" s="122"/>
      <c r="D12" s="510"/>
      <c r="F12" s="22"/>
    </row>
    <row r="13" spans="1:6" s="18" customFormat="1" ht="14.25">
      <c r="A13" s="419" t="s">
        <v>404</v>
      </c>
      <c r="B13" s="511">
        <v>8897126</v>
      </c>
      <c r="C13" s="122"/>
      <c r="D13" s="510"/>
      <c r="F13" s="22"/>
    </row>
    <row r="14" spans="1:6" s="18" customFormat="1" ht="15" customHeight="1">
      <c r="A14" s="419" t="s">
        <v>405</v>
      </c>
      <c r="B14" s="509"/>
      <c r="C14" s="512" t="e">
        <f>B13-B12</f>
        <v>#REF!</v>
      </c>
      <c r="D14" s="510"/>
      <c r="F14" s="22">
        <v>41100</v>
      </c>
    </row>
    <row r="15" spans="1:6" s="18" customFormat="1" ht="15" customHeight="1">
      <c r="A15" s="418" t="s">
        <v>406</v>
      </c>
      <c r="B15" s="509"/>
      <c r="C15" s="122"/>
      <c r="D15" s="563" t="e">
        <f>C10+C14</f>
        <v>#REF!</v>
      </c>
      <c r="E15" s="127" t="e">
        <f>+'(7)Premiums YTD8'!G30</f>
        <v>#REF!</v>
      </c>
      <c r="F15" s="22"/>
    </row>
    <row r="16" spans="1:6" s="18" customFormat="1" ht="14.25">
      <c r="A16" s="419" t="s">
        <v>407</v>
      </c>
      <c r="B16" s="509"/>
      <c r="C16" s="122">
        <f>+'[5]TB03-31-04(Final)'!G384</f>
        <v>3791762.3499999996</v>
      </c>
      <c r="D16" s="510"/>
      <c r="F16" s="22" t="s">
        <v>428</v>
      </c>
    </row>
    <row r="17" spans="1:6" s="18" customFormat="1" ht="14.25">
      <c r="A17" s="419" t="s">
        <v>408</v>
      </c>
      <c r="B17" s="509"/>
      <c r="C17" s="512">
        <f>-'[5]TB03-31-04(Final)'!G405+1</f>
        <v>8001.969999999999</v>
      </c>
      <c r="D17" s="510"/>
      <c r="F17" s="22">
        <v>51108</v>
      </c>
    </row>
    <row r="18" spans="1:6" s="18" customFormat="1" ht="15">
      <c r="A18" s="418" t="s">
        <v>409</v>
      </c>
      <c r="B18" s="509"/>
      <c r="C18" s="122">
        <f>C16-C17</f>
        <v>3783760.3799999994</v>
      </c>
      <c r="D18" s="510"/>
      <c r="F18" s="22"/>
    </row>
    <row r="19" spans="1:6" s="18" customFormat="1" ht="14.25">
      <c r="A19" s="419" t="s">
        <v>410</v>
      </c>
      <c r="B19" s="509" t="e">
        <f>'(6)Losses Incurred YTD10'!H18</f>
        <v>#REF!</v>
      </c>
      <c r="C19" s="122" t="s">
        <v>330</v>
      </c>
      <c r="D19" s="510"/>
      <c r="F19" s="22"/>
    </row>
    <row r="20" spans="1:6" s="18" customFormat="1" ht="14.25">
      <c r="A20" s="419" t="s">
        <v>411</v>
      </c>
      <c r="B20" s="511">
        <v>5587477</v>
      </c>
      <c r="C20" s="122"/>
      <c r="D20" s="510"/>
      <c r="F20" s="22"/>
    </row>
    <row r="21" spans="1:6" s="18" customFormat="1" ht="14.25">
      <c r="A21" s="419" t="s">
        <v>412</v>
      </c>
      <c r="B21" s="514"/>
      <c r="C21" s="512" t="e">
        <f>B19-B20</f>
        <v>#REF!</v>
      </c>
      <c r="D21" s="510"/>
      <c r="F21" s="22" t="s">
        <v>429</v>
      </c>
    </row>
    <row r="22" spans="1:6" s="18" customFormat="1" ht="15">
      <c r="A22" s="418" t="s">
        <v>413</v>
      </c>
      <c r="B22" s="509"/>
      <c r="C22" s="122"/>
      <c r="D22" s="510" t="e">
        <f>C18+C21</f>
        <v>#REF!</v>
      </c>
      <c r="E22" s="48" t="e">
        <f>+'(6)Losses Incurred YTD10'!H30</f>
        <v>#REF!</v>
      </c>
      <c r="F22" s="22"/>
    </row>
    <row r="23" spans="1:6" s="18" customFormat="1" ht="14.25">
      <c r="A23" s="419" t="s">
        <v>414</v>
      </c>
      <c r="B23" s="509"/>
      <c r="C23" s="122">
        <f>+'[5]TB03-31-04(Final)'!G486</f>
        <v>292907.87</v>
      </c>
      <c r="D23" s="510"/>
      <c r="E23" s="109"/>
      <c r="F23" s="22">
        <v>51200</v>
      </c>
    </row>
    <row r="24" spans="1:6" s="18" customFormat="1" ht="14.25">
      <c r="A24" s="419" t="s">
        <v>415</v>
      </c>
      <c r="B24" s="509"/>
      <c r="C24" s="512">
        <f>+'[5]TB03-31-04(Final)'!G547</f>
        <v>139421.58999999997</v>
      </c>
      <c r="D24" s="510"/>
      <c r="F24" s="22">
        <v>51300</v>
      </c>
    </row>
    <row r="25" spans="1:6" s="18" customFormat="1" ht="15">
      <c r="A25" s="418" t="s">
        <v>416</v>
      </c>
      <c r="B25" s="509"/>
      <c r="C25" s="122">
        <f>C23+C24</f>
        <v>432329.45999999996</v>
      </c>
      <c r="D25" s="510"/>
      <c r="F25" s="22"/>
    </row>
    <row r="26" spans="1:6" s="18" customFormat="1" ht="14.25">
      <c r="A26" s="419" t="s">
        <v>417</v>
      </c>
      <c r="B26" s="509" t="e">
        <f>'(4)Loss Expenses YTD12'!H18</f>
        <v>#REF!</v>
      </c>
      <c r="C26" s="122"/>
      <c r="D26" s="510"/>
      <c r="F26" s="22"/>
    </row>
    <row r="27" spans="1:9" s="18" customFormat="1" ht="14.25">
      <c r="A27" s="419" t="s">
        <v>418</v>
      </c>
      <c r="B27" s="511">
        <v>474837</v>
      </c>
      <c r="C27" s="122"/>
      <c r="D27" s="510"/>
      <c r="F27" s="22"/>
      <c r="I27" s="122">
        <f>31050</f>
        <v>31050</v>
      </c>
    </row>
    <row r="28" spans="1:9" s="18" customFormat="1" ht="14.25">
      <c r="A28" s="419" t="s">
        <v>419</v>
      </c>
      <c r="B28" s="509"/>
      <c r="C28" s="512" t="e">
        <f>B26-B27</f>
        <v>#REF!</v>
      </c>
      <c r="D28" s="510"/>
      <c r="F28" s="22" t="s">
        <v>430</v>
      </c>
      <c r="I28" s="122">
        <f>20347.1</f>
        <v>20347.1</v>
      </c>
    </row>
    <row r="29" spans="1:9" s="18" customFormat="1" ht="15">
      <c r="A29" s="418" t="s">
        <v>420</v>
      </c>
      <c r="B29" s="509"/>
      <c r="C29" s="122"/>
      <c r="D29" s="513" t="e">
        <f>C25+C28</f>
        <v>#REF!</v>
      </c>
      <c r="E29" s="48" t="e">
        <f>+'(4)Loss Expenses YTD12'!H30</f>
        <v>#REF!</v>
      </c>
      <c r="F29" s="22"/>
      <c r="I29" s="122">
        <f>6478.27</f>
        <v>6478.27</v>
      </c>
    </row>
    <row r="30" spans="1:9" s="18" customFormat="1" ht="15">
      <c r="A30" s="418" t="s">
        <v>421</v>
      </c>
      <c r="B30" s="509"/>
      <c r="C30" s="122"/>
      <c r="D30" s="515" t="e">
        <f>D22+D29</f>
        <v>#REF!</v>
      </c>
      <c r="F30" s="22"/>
      <c r="I30" s="122">
        <f>23108.63</f>
        <v>23108.63</v>
      </c>
    </row>
    <row r="31" spans="1:9" s="18" customFormat="1" ht="14.25">
      <c r="A31" s="419" t="s">
        <v>422</v>
      </c>
      <c r="B31" s="509"/>
      <c r="C31" s="122">
        <f>23108.63+6478.27+20347.1+10350+20700+1200+600</f>
        <v>82784</v>
      </c>
      <c r="D31" s="510"/>
      <c r="F31" s="22"/>
      <c r="I31" s="122">
        <f>SUM(I27:I30)</f>
        <v>80984</v>
      </c>
    </row>
    <row r="32" spans="1:6" s="18" customFormat="1" ht="14.25">
      <c r="A32" s="419" t="s">
        <v>423</v>
      </c>
      <c r="B32" s="509">
        <f>+'Balance Sheet-1'!D34</f>
        <v>17092.15</v>
      </c>
      <c r="C32" s="122"/>
      <c r="D32" s="510"/>
      <c r="F32" s="22">
        <v>24000</v>
      </c>
    </row>
    <row r="33" spans="1:6" s="18" customFormat="1" ht="14.25">
      <c r="A33" s="419" t="s">
        <v>424</v>
      </c>
      <c r="B33" s="511">
        <v>46320</v>
      </c>
      <c r="C33" s="122" t="s">
        <v>330</v>
      </c>
      <c r="D33" s="510"/>
      <c r="F33" s="22"/>
    </row>
    <row r="34" spans="1:6" s="18" customFormat="1" ht="14.25">
      <c r="A34" s="419" t="s">
        <v>425</v>
      </c>
      <c r="B34" s="509"/>
      <c r="C34" s="512">
        <f>B32-B33</f>
        <v>-29227.85</v>
      </c>
      <c r="D34" s="510"/>
      <c r="F34" s="22"/>
    </row>
    <row r="35" spans="1:6" s="18" customFormat="1" ht="14.25" hidden="1">
      <c r="A35" s="419"/>
      <c r="B35" s="509"/>
      <c r="C35" s="122"/>
      <c r="D35" s="510"/>
      <c r="F35" s="22"/>
    </row>
    <row r="36" spans="1:10" s="18" customFormat="1" ht="15" customHeight="1">
      <c r="A36" s="418" t="s">
        <v>426</v>
      </c>
      <c r="B36" s="509"/>
      <c r="C36" s="122" t="s">
        <v>330</v>
      </c>
      <c r="D36" s="510">
        <f>SUM(C31:C35)</f>
        <v>53556.15</v>
      </c>
      <c r="E36" s="253">
        <f>+'[5]TB03-31-04(Final)'!G644</f>
        <v>22313.94</v>
      </c>
      <c r="F36" s="22">
        <v>64000</v>
      </c>
      <c r="I36" s="18">
        <v>97598.57</v>
      </c>
      <c r="J36" s="114">
        <f>+D36-I36</f>
        <v>-44042.420000000006</v>
      </c>
    </row>
    <row r="37" spans="1:6" s="18" customFormat="1" ht="13.5" customHeight="1">
      <c r="A37" s="410" t="s">
        <v>169</v>
      </c>
      <c r="B37" s="509"/>
      <c r="C37" s="127"/>
      <c r="D37" s="516">
        <f>+'[5]TB03-31-04(Final)'!G630</f>
        <v>528557.35</v>
      </c>
      <c r="F37" s="22" t="s">
        <v>431</v>
      </c>
    </row>
    <row r="38" spans="1:6" s="18" customFormat="1" ht="13.5" customHeight="1">
      <c r="A38" s="410" t="s">
        <v>285</v>
      </c>
      <c r="B38" s="509"/>
      <c r="C38" s="122">
        <f>+'[5]TB03-31-04(Final)'!G635+'[5]TB03-31-04(Final)'!G639+'[5]TB03-31-04(Final)'!G647</f>
        <v>108491.93</v>
      </c>
      <c r="D38" s="510"/>
      <c r="F38" s="22" t="s">
        <v>432</v>
      </c>
    </row>
    <row r="39" spans="1:9" s="18" customFormat="1" ht="14.25">
      <c r="A39" s="410" t="s">
        <v>215</v>
      </c>
      <c r="B39" s="509"/>
      <c r="C39" s="559">
        <f>+'[5]TB03-31-04(Final)'!G1005-'(8)Earned Incurred YTD6'!C43</f>
        <v>995251.8099999997</v>
      </c>
      <c r="D39" s="510"/>
      <c r="E39" s="120"/>
      <c r="F39" s="22" t="s">
        <v>433</v>
      </c>
      <c r="I39" s="148"/>
    </row>
    <row r="40" spans="1:9" s="18" customFormat="1" ht="15">
      <c r="A40" s="409" t="s">
        <v>216</v>
      </c>
      <c r="B40" s="509"/>
      <c r="C40" s="560">
        <f>SUM(C38:C39)-1</f>
        <v>1103742.7399999998</v>
      </c>
      <c r="D40" s="510"/>
      <c r="E40" s="120"/>
      <c r="F40" s="22"/>
      <c r="I40" s="148"/>
    </row>
    <row r="41" spans="1:6" s="18" customFormat="1" ht="14.25">
      <c r="A41" s="410" t="s">
        <v>423</v>
      </c>
      <c r="B41" s="509">
        <f>-'[5]TB03-31-04(Final)'!G217</f>
        <v>330321.9</v>
      </c>
      <c r="C41" s="122"/>
      <c r="D41" s="510"/>
      <c r="F41" s="22"/>
    </row>
    <row r="42" spans="1:6" s="18" customFormat="1" ht="14.25">
      <c r="A42" s="410" t="s">
        <v>424</v>
      </c>
      <c r="B42" s="511">
        <v>356304</v>
      </c>
      <c r="C42" s="122" t="s">
        <v>330</v>
      </c>
      <c r="D42" s="510"/>
      <c r="F42" s="22"/>
    </row>
    <row r="43" spans="1:6" s="18" customFormat="1" ht="14.25">
      <c r="A43" s="410" t="s">
        <v>217</v>
      </c>
      <c r="B43" s="509"/>
      <c r="C43" s="512">
        <f>B41-B42</f>
        <v>-25982.099999999977</v>
      </c>
      <c r="D43" s="510"/>
      <c r="E43" s="238">
        <f>+C38+C39+C43</f>
        <v>1077761.6399999997</v>
      </c>
      <c r="F43" s="22"/>
    </row>
    <row r="44" spans="1:6" s="18" customFormat="1" ht="15">
      <c r="A44" s="409" t="s">
        <v>284</v>
      </c>
      <c r="B44" s="509"/>
      <c r="C44" s="122"/>
      <c r="D44" s="513">
        <f>SUM(C40:C43)+2</f>
        <v>1077762.6399999997</v>
      </c>
      <c r="E44" s="120"/>
      <c r="F44" s="22"/>
    </row>
    <row r="45" spans="1:6" s="18" customFormat="1" ht="15">
      <c r="A45" s="409" t="s">
        <v>218</v>
      </c>
      <c r="B45" s="509"/>
      <c r="C45" s="122"/>
      <c r="D45" s="558">
        <f>SUM(D36:D44)</f>
        <v>1659876.1399999997</v>
      </c>
      <c r="E45" s="120"/>
      <c r="F45" s="22"/>
    </row>
    <row r="46" spans="1:10" s="18" customFormat="1" ht="30">
      <c r="A46" s="409" t="s">
        <v>219</v>
      </c>
      <c r="B46" s="509"/>
      <c r="C46" s="122"/>
      <c r="D46" s="517" t="e">
        <f>SUM(D30:D44)</f>
        <v>#REF!</v>
      </c>
      <c r="F46" s="22"/>
      <c r="I46" s="18">
        <v>22008562.28</v>
      </c>
      <c r="J46" s="114" t="e">
        <f>+D46-I46</f>
        <v>#REF!</v>
      </c>
    </row>
    <row r="47" spans="1:6" s="18" customFormat="1" ht="15">
      <c r="A47" s="418" t="s">
        <v>92</v>
      </c>
      <c r="B47" s="509"/>
      <c r="C47" s="122"/>
      <c r="D47" s="595" t="e">
        <f>D15-D46</f>
        <v>#REF!</v>
      </c>
      <c r="F47" s="22"/>
    </row>
    <row r="48" spans="1:6" s="18" customFormat="1" ht="14.25">
      <c r="A48" s="419" t="s">
        <v>266</v>
      </c>
      <c r="B48" s="509"/>
      <c r="C48" s="122">
        <f>-'[5]TB03-31-04(Final)'!G356-'[5]TB03-31-04(Final)'!G343-'[5]TB03-31-04(Final)'!F347+'(8)Earned Incurred YTD6'!B50</f>
        <v>44581.64</v>
      </c>
      <c r="D48" s="510"/>
      <c r="F48" s="22" t="s">
        <v>435</v>
      </c>
    </row>
    <row r="49" spans="1:6" s="18" customFormat="1" ht="14.25">
      <c r="A49" s="419" t="s">
        <v>440</v>
      </c>
      <c r="B49" s="509">
        <f>+'[5]TB03-31-04(Final)'!G25</f>
        <v>10038.47</v>
      </c>
      <c r="C49" s="122"/>
      <c r="D49" s="510"/>
      <c r="F49" s="22">
        <v>12150</v>
      </c>
    </row>
    <row r="50" spans="1:6" s="18" customFormat="1" ht="14.25">
      <c r="A50" s="419" t="s">
        <v>441</v>
      </c>
      <c r="B50" s="511">
        <v>17084</v>
      </c>
      <c r="C50" s="122" t="s">
        <v>330</v>
      </c>
      <c r="D50" s="510"/>
      <c r="F50" s="22"/>
    </row>
    <row r="51" spans="1:6" s="18" customFormat="1" ht="15">
      <c r="A51" s="419" t="s">
        <v>442</v>
      </c>
      <c r="B51" s="509"/>
      <c r="C51" s="512">
        <f>B49-B50</f>
        <v>-7045.530000000001</v>
      </c>
      <c r="D51" s="515"/>
      <c r="F51" s="22"/>
    </row>
    <row r="52" spans="1:9" s="18" customFormat="1" ht="15">
      <c r="A52" s="418" t="s">
        <v>267</v>
      </c>
      <c r="B52" s="509"/>
      <c r="C52" s="122"/>
      <c r="D52" s="518">
        <f>C48+C51</f>
        <v>37536.11</v>
      </c>
      <c r="E52" s="253">
        <f>+'[5]TB03-31-04(Final)'!G348</f>
        <v>-29950.73</v>
      </c>
      <c r="F52" s="22" t="s">
        <v>434</v>
      </c>
      <c r="I52" s="148"/>
    </row>
    <row r="53" spans="1:10" s="18" customFormat="1" ht="15">
      <c r="A53" s="420"/>
      <c r="B53" s="530"/>
      <c r="C53" s="357"/>
      <c r="D53" s="534"/>
      <c r="F53" s="22"/>
      <c r="J53" s="114"/>
    </row>
    <row r="54" spans="1:9" s="18" customFormat="1" ht="15">
      <c r="A54" s="421" t="s">
        <v>93</v>
      </c>
      <c r="B54" s="532"/>
      <c r="C54" s="533"/>
      <c r="D54" s="535" t="e">
        <f>D47+D52</f>
        <v>#REF!</v>
      </c>
      <c r="F54" s="22" t="s">
        <v>94</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4.25">
      <c r="A57" s="980"/>
      <c r="B57" s="981"/>
      <c r="C57" s="981"/>
      <c r="D57" s="981"/>
      <c r="F57" s="22"/>
      <c r="J57" s="114"/>
    </row>
    <row r="58" spans="1:6" s="18" customFormat="1" ht="15">
      <c r="A58" s="144"/>
      <c r="B58" s="536"/>
      <c r="C58" s="537"/>
      <c r="D58" s="537"/>
      <c r="F58" s="22"/>
    </row>
    <row r="59" spans="1:6" s="18" customFormat="1" ht="15">
      <c r="A59" s="972" t="s">
        <v>145</v>
      </c>
      <c r="B59" s="972"/>
      <c r="C59" s="972"/>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3"/>
      <c r="C85" s="357"/>
      <c r="D85" s="493"/>
      <c r="F85" s="22"/>
    </row>
    <row r="86" spans="1:6" s="18" customFormat="1" ht="14.25">
      <c r="A86" s="47"/>
      <c r="B86" s="493"/>
      <c r="C86" s="493"/>
      <c r="D86" s="493"/>
      <c r="F86" s="22"/>
    </row>
    <row r="87" spans="1:6" s="18" customFormat="1" ht="14.25">
      <c r="A87" s="47"/>
      <c r="B87" s="493"/>
      <c r="C87" s="493"/>
      <c r="D87" s="493"/>
      <c r="F87" s="22"/>
    </row>
    <row r="88" spans="1:6" s="18" customFormat="1" ht="14.25">
      <c r="A88" s="47"/>
      <c r="B88" s="493"/>
      <c r="C88" s="493"/>
      <c r="D88" s="493"/>
      <c r="F88" s="22"/>
    </row>
    <row r="89" spans="1:6" s="18" customFormat="1" ht="14.25">
      <c r="A89" s="47"/>
      <c r="B89" s="493"/>
      <c r="C89" s="493"/>
      <c r="D89" s="493"/>
      <c r="F89" s="22"/>
    </row>
    <row r="90" spans="1:6" s="18" customFormat="1" ht="14.25">
      <c r="A90" s="47"/>
      <c r="B90" s="493"/>
      <c r="C90" s="493"/>
      <c r="D90" s="493"/>
      <c r="F90" s="22"/>
    </row>
    <row r="91" spans="1:6" s="18" customFormat="1" ht="14.25">
      <c r="A91" s="47"/>
      <c r="B91" s="493"/>
      <c r="C91" s="493"/>
      <c r="D91" s="493"/>
      <c r="F91" s="22"/>
    </row>
    <row r="92" spans="1:6" s="18" customFormat="1" ht="14.25">
      <c r="A92" s="47"/>
      <c r="B92" s="493"/>
      <c r="C92" s="493"/>
      <c r="D92" s="493"/>
      <c r="F92" s="22"/>
    </row>
    <row r="93" spans="1:6" s="18" customFormat="1" ht="14.25">
      <c r="A93" s="47"/>
      <c r="B93" s="493"/>
      <c r="C93" s="493"/>
      <c r="D93" s="493"/>
      <c r="F93" s="22"/>
    </row>
    <row r="94" spans="1:6" s="18" customFormat="1" ht="14.25">
      <c r="A94" s="47"/>
      <c r="B94" s="493"/>
      <c r="C94" s="493"/>
      <c r="D94" s="493"/>
      <c r="F94" s="22"/>
    </row>
    <row r="95" spans="1:6" s="18" customFormat="1" ht="14.25">
      <c r="A95" s="47"/>
      <c r="B95" s="493"/>
      <c r="C95" s="493"/>
      <c r="D95" s="493"/>
      <c r="F95" s="22"/>
    </row>
    <row r="96" spans="1:6" s="18" customFormat="1" ht="14.25">
      <c r="A96" s="47"/>
      <c r="B96" s="493"/>
      <c r="C96" s="493"/>
      <c r="D96" s="493"/>
      <c r="F96" s="22"/>
    </row>
    <row r="97" spans="1:6" s="18" customFormat="1" ht="14.25">
      <c r="A97" s="47"/>
      <c r="B97" s="493"/>
      <c r="C97" s="493"/>
      <c r="D97" s="493"/>
      <c r="F97" s="22"/>
    </row>
    <row r="98" spans="1:6" s="18" customFormat="1" ht="14.25">
      <c r="A98" s="47"/>
      <c r="B98" s="493"/>
      <c r="C98" s="493"/>
      <c r="D98" s="493"/>
      <c r="F98" s="22"/>
    </row>
    <row r="99" spans="1:6" s="18" customFormat="1" ht="14.25">
      <c r="A99" s="47"/>
      <c r="B99" s="493"/>
      <c r="C99" s="493"/>
      <c r="D99" s="493"/>
      <c r="F99" s="22"/>
    </row>
    <row r="100" spans="1:6" s="18" customFormat="1" ht="14.25">
      <c r="A100" s="47"/>
      <c r="B100" s="493"/>
      <c r="C100" s="493"/>
      <c r="D100" s="493"/>
      <c r="F100" s="22"/>
    </row>
    <row r="101" spans="1:6" s="18" customFormat="1" ht="14.25">
      <c r="A101" s="47"/>
      <c r="B101" s="493"/>
      <c r="C101" s="493"/>
      <c r="D101" s="493"/>
      <c r="F101" s="22"/>
    </row>
    <row r="102" spans="1:6" s="18" customFormat="1" ht="14.25">
      <c r="A102" s="47"/>
      <c r="B102" s="493"/>
      <c r="C102" s="493"/>
      <c r="D102" s="493"/>
      <c r="F102" s="22"/>
    </row>
    <row r="103" spans="1:6" s="18" customFormat="1" ht="14.25">
      <c r="A103" s="47"/>
      <c r="B103" s="493"/>
      <c r="C103" s="493"/>
      <c r="D103" s="493"/>
      <c r="F103" s="22"/>
    </row>
    <row r="104" spans="1:6" s="18" customFormat="1" ht="14.25">
      <c r="A104" s="47"/>
      <c r="B104" s="493"/>
      <c r="C104" s="493"/>
      <c r="D104" s="493"/>
      <c r="F104" s="22"/>
    </row>
    <row r="105" spans="1:6" s="18" customFormat="1" ht="14.25">
      <c r="A105" s="47"/>
      <c r="B105" s="542"/>
      <c r="C105" s="493"/>
      <c r="D105" s="54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sheetProtection/>
  <mergeCells count="69">
    <mergeCell ref="HM1:HP1"/>
    <mergeCell ref="HQ1:HT1"/>
    <mergeCell ref="IK1:IN1"/>
    <mergeCell ref="IO1:IR1"/>
    <mergeCell ref="IS1:IV1"/>
    <mergeCell ref="HU1:HX1"/>
    <mergeCell ref="HY1:IB1"/>
    <mergeCell ref="IC1:IF1"/>
    <mergeCell ref="IG1:IJ1"/>
    <mergeCell ref="HI1:HL1"/>
    <mergeCell ref="FQ1:FT1"/>
    <mergeCell ref="FU1:FX1"/>
    <mergeCell ref="FY1:GB1"/>
    <mergeCell ref="GC1:GF1"/>
    <mergeCell ref="GG1:GJ1"/>
    <mergeCell ref="GK1:GN1"/>
    <mergeCell ref="GO1:GR1"/>
    <mergeCell ref="GS1:GV1"/>
    <mergeCell ref="GW1:GZ1"/>
    <mergeCell ref="HA1:HD1"/>
    <mergeCell ref="HE1:HH1"/>
    <mergeCell ref="FM1:FP1"/>
    <mergeCell ref="DU1:DX1"/>
    <mergeCell ref="DY1:EB1"/>
    <mergeCell ref="EC1:EF1"/>
    <mergeCell ref="EG1:EJ1"/>
    <mergeCell ref="EK1:EN1"/>
    <mergeCell ref="EO1:ER1"/>
    <mergeCell ref="ES1:EV1"/>
    <mergeCell ref="EW1:EZ1"/>
    <mergeCell ref="FA1:FD1"/>
    <mergeCell ref="FE1:FH1"/>
    <mergeCell ref="FI1:FL1"/>
    <mergeCell ref="DQ1:DT1"/>
    <mergeCell ref="BY1:CB1"/>
    <mergeCell ref="CC1:CF1"/>
    <mergeCell ref="CG1:CJ1"/>
    <mergeCell ref="CK1:CN1"/>
    <mergeCell ref="CO1:CR1"/>
    <mergeCell ref="CS1:CV1"/>
    <mergeCell ref="CW1:CZ1"/>
    <mergeCell ref="DA1:DD1"/>
    <mergeCell ref="DE1:DH1"/>
    <mergeCell ref="DI1:DL1"/>
    <mergeCell ref="DM1:DP1"/>
    <mergeCell ref="BU1:BX1"/>
    <mergeCell ref="AC1:AF1"/>
    <mergeCell ref="AG1:AJ1"/>
    <mergeCell ref="AK1:AN1"/>
    <mergeCell ref="AO1:AR1"/>
    <mergeCell ref="AS1:AV1"/>
    <mergeCell ref="AW1:AZ1"/>
    <mergeCell ref="BA1:BD1"/>
    <mergeCell ref="BE1:BH1"/>
    <mergeCell ref="BI1:BL1"/>
    <mergeCell ref="BM1:BP1"/>
    <mergeCell ref="BQ1:BT1"/>
    <mergeCell ref="Y1:AB1"/>
    <mergeCell ref="A59:C59"/>
    <mergeCell ref="A5:D5"/>
    <mergeCell ref="A1:D1"/>
    <mergeCell ref="A2:D2"/>
    <mergeCell ref="A3:D3"/>
    <mergeCell ref="A4:D4"/>
    <mergeCell ref="E1:H1"/>
    <mergeCell ref="M1:P1"/>
    <mergeCell ref="Q1:T1"/>
    <mergeCell ref="A57:D57"/>
    <mergeCell ref="U1:X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4"/>
  <sheetViews>
    <sheetView zoomScale="75" zoomScaleNormal="75" zoomScalePageLayoutView="0"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5.5">
      <c r="A1" s="436" t="s">
        <v>320</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443</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30">
      <c r="A7" s="443"/>
      <c r="B7" s="444" t="s">
        <v>112</v>
      </c>
      <c r="C7" s="444" t="s">
        <v>116</v>
      </c>
      <c r="D7" s="444" t="s">
        <v>212</v>
      </c>
      <c r="E7" s="444" t="s">
        <v>282</v>
      </c>
      <c r="F7" s="444" t="s">
        <v>167</v>
      </c>
      <c r="G7" s="445" t="s">
        <v>321</v>
      </c>
      <c r="H7" s="584"/>
    </row>
    <row r="8" spans="1:7" ht="15.75">
      <c r="A8" s="446" t="s">
        <v>444</v>
      </c>
      <c r="B8" s="447"/>
      <c r="C8" s="447"/>
      <c r="D8" s="447"/>
      <c r="E8" s="447"/>
      <c r="F8" s="447"/>
      <c r="G8" s="447"/>
    </row>
    <row r="9" spans="1:8" s="99" customFormat="1" ht="15">
      <c r="A9" s="447" t="s">
        <v>41</v>
      </c>
      <c r="B9" s="472">
        <f>-SUM('[5]TB03-31-04(Final)'!F297)</f>
        <v>91475</v>
      </c>
      <c r="C9" s="472">
        <f>-SUM('[5]TB03-31-04(Final)'!F296)</f>
        <v>-3288</v>
      </c>
      <c r="D9" s="472">
        <f>-SUM('[5]TB03-31-04(Final)'!F295)</f>
        <v>0</v>
      </c>
      <c r="E9" s="548">
        <f>-SUM('[5]TB03-31-04(Final)'!F294)</f>
        <v>0</v>
      </c>
      <c r="F9" s="126">
        <f>-SUM('[5]TB03-31-04(Final)'!F293)</f>
        <v>0</v>
      </c>
      <c r="G9" s="543">
        <f>SUM(B9:F9)</f>
        <v>88187</v>
      </c>
      <c r="H9" s="586"/>
    </row>
    <row r="10" spans="1:8" ht="15.75">
      <c r="A10" s="447" t="s">
        <v>458</v>
      </c>
      <c r="B10" s="126">
        <f>-SUM('[5]TB03-31-04(Final)'!F306)</f>
        <v>27184</v>
      </c>
      <c r="C10" s="126">
        <f>-SUM('[5]TB03-31-04(Final)'!F305)</f>
        <v>-791</v>
      </c>
      <c r="D10" s="126">
        <f>-SUM('[5]TB03-31-04(Final)'!F304)</f>
        <v>0</v>
      </c>
      <c r="E10" s="126">
        <f>-SUM('[5]TB03-31-04(Final)'!F303)</f>
        <v>0</v>
      </c>
      <c r="F10" s="126">
        <f>-SUM('[5]TB03-31-04(Final)'!F302)</f>
        <v>0</v>
      </c>
      <c r="G10" s="546">
        <f>SUM(B10:F10)</f>
        <v>26393</v>
      </c>
      <c r="H10" s="586"/>
    </row>
    <row r="11" spans="1:22" ht="15.75">
      <c r="A11" s="447" t="s">
        <v>459</v>
      </c>
      <c r="B11" s="126">
        <f>-'[5]TB03-31-04(Final)'!F315</f>
        <v>-19</v>
      </c>
      <c r="C11" s="126">
        <f>-'[5]TB03-31-04(Final)'!F314</f>
        <v>1</v>
      </c>
      <c r="D11" s="126">
        <v>0</v>
      </c>
      <c r="E11" s="126" t="e">
        <f>-'[5]TB03-31-04(Final)'!F310</f>
        <v>#REF!</v>
      </c>
      <c r="F11" s="126" t="e">
        <f>-'[5]TB03-31-04(Final)'!F311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448</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+'[5]TB03-31-04(Final)'!G317</f>
        <v>-5676242</v>
      </c>
      <c r="I13" s="101" t="e">
        <f>SUM(G9:G11)</f>
        <v>#REF!</v>
      </c>
      <c r="J13" s="88"/>
      <c r="K13" s="88"/>
      <c r="L13" s="88"/>
      <c r="M13" s="88"/>
      <c r="N13" s="88"/>
      <c r="O13" s="88"/>
      <c r="P13" s="88"/>
      <c r="Q13" s="88"/>
      <c r="R13" s="88"/>
      <c r="S13" s="88"/>
      <c r="T13" s="88"/>
      <c r="U13" s="88"/>
      <c r="V13" s="88"/>
    </row>
    <row r="14" spans="1:22" s="4" customFormat="1" ht="45">
      <c r="A14" s="446" t="s">
        <v>240</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41</v>
      </c>
      <c r="B15" s="126">
        <f>-'[5]TB03-31-04(Final)'!F51</f>
        <v>4674519</v>
      </c>
      <c r="C15" s="126">
        <f>-'[5]TB03-31-04(Final)'!F50</f>
        <v>0</v>
      </c>
      <c r="D15" s="126">
        <f>-'[5]TB03-31-04(Final)'!F49</f>
        <v>0</v>
      </c>
      <c r="E15" s="126" t="e">
        <f>-'[5]TB03-31-04(Final)'!F48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458</v>
      </c>
      <c r="B16" s="126">
        <f>-'[5]TB03-31-04(Final)'!F57</f>
        <v>1490507</v>
      </c>
      <c r="C16" s="126">
        <f>-'[5]TB03-31-04(Final)'!F56</f>
        <v>0</v>
      </c>
      <c r="D16" s="126">
        <f>-'[5]TB03-31-04(Final)'!F55</f>
        <v>0</v>
      </c>
      <c r="E16" s="126" t="e">
        <f>-'[5]TB03-31-04(Final)'!F54</f>
        <v>#REF!</v>
      </c>
      <c r="F16" s="126" t="e">
        <f>-'[5]TB03-31-04(Final)'!F53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459</v>
      </c>
      <c r="B17" s="126">
        <f>-'[5]TB03-31-04(Final)'!F63</f>
        <v>19657</v>
      </c>
      <c r="C17" s="126">
        <f>-'[5]TB03-31-04(Final)'!F62</f>
        <v>0</v>
      </c>
      <c r="D17" s="126">
        <f>-'[5]TB03-31-04(Final)'!F61</f>
        <v>0</v>
      </c>
      <c r="E17" s="126" t="e">
        <f>-'[5]TB03-31-04(Final)'!F60</f>
        <v>#REF!</v>
      </c>
      <c r="F17" s="126" t="e">
        <f>-'[5]TB03-31-04(Final)'!F59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448</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+'[5]TB03-31-04(Final)'!G63</f>
        <v>#REF!</v>
      </c>
      <c r="I19" s="88"/>
      <c r="J19" s="88"/>
      <c r="K19" s="88"/>
      <c r="L19" s="88"/>
      <c r="M19" s="88"/>
      <c r="N19" s="88"/>
      <c r="O19" s="88"/>
      <c r="P19" s="88"/>
      <c r="Q19" s="88"/>
      <c r="R19" s="88"/>
      <c r="S19" s="88"/>
      <c r="T19" s="88"/>
      <c r="U19" s="88"/>
      <c r="V19" s="88"/>
    </row>
    <row r="20" spans="1:22" s="4" customFormat="1" ht="45">
      <c r="A20" s="446" t="s">
        <v>272</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41</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458</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459</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448</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449</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470</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86</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471</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448</v>
      </c>
      <c r="B30" s="544">
        <f aca="true" t="shared" si="5" ref="B30:G30">SUM(B27:B29)</f>
        <v>-6066043</v>
      </c>
      <c r="C30" s="544">
        <f t="shared" si="5"/>
        <v>8893048</v>
      </c>
      <c r="D30" s="544">
        <f t="shared" si="5"/>
        <v>0</v>
      </c>
      <c r="E30" s="544" t="e">
        <f t="shared" si="5"/>
        <v>#REF!</v>
      </c>
      <c r="F30" s="551" t="e">
        <f t="shared" si="5"/>
        <v>#REF!</v>
      </c>
      <c r="G30" s="545" t="e">
        <f t="shared" si="5"/>
        <v>#REF!</v>
      </c>
      <c r="H30" s="344">
        <f>+'[5]TB03-31-04(Final)'!G338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4"/>
      <c r="B32" s="755"/>
      <c r="C32" s="755"/>
      <c r="D32" s="755"/>
      <c r="E32" s="755"/>
      <c r="F32" s="755"/>
      <c r="G32" s="755"/>
      <c r="H32" s="755"/>
    </row>
    <row r="33" spans="1:8" s="757" customFormat="1" ht="15" customHeight="1">
      <c r="A33" s="982" t="s">
        <v>28</v>
      </c>
      <c r="B33" s="982"/>
      <c r="C33" s="982"/>
      <c r="D33" s="982"/>
      <c r="E33" s="982"/>
      <c r="F33" s="982"/>
      <c r="G33" s="982"/>
      <c r="H33" s="982"/>
    </row>
    <row r="34" spans="1:8" s="757" customFormat="1" ht="12.75">
      <c r="A34" s="982"/>
      <c r="B34" s="982"/>
      <c r="C34" s="982"/>
      <c r="D34" s="982"/>
      <c r="E34" s="982"/>
      <c r="F34" s="982"/>
      <c r="G34" s="982"/>
      <c r="H34" s="982"/>
    </row>
    <row r="35" spans="1:8" s="757" customFormat="1" ht="12.75">
      <c r="A35" s="982"/>
      <c r="B35" s="982"/>
      <c r="C35" s="982"/>
      <c r="D35" s="982"/>
      <c r="E35" s="982"/>
      <c r="F35" s="982"/>
      <c r="G35" s="982"/>
      <c r="H35" s="982"/>
    </row>
    <row r="36" spans="1:8" s="757" customFormat="1" ht="12.75">
      <c r="A36" s="756"/>
      <c r="B36" s="756"/>
      <c r="C36" s="756"/>
      <c r="D36" s="756"/>
      <c r="E36" s="756"/>
      <c r="F36" s="756"/>
      <c r="G36" s="756"/>
      <c r="H36" s="756"/>
    </row>
    <row r="37" spans="2:4" s="757" customFormat="1" ht="12" customHeight="1">
      <c r="B37" s="758"/>
      <c r="C37" s="983" t="s">
        <v>29</v>
      </c>
      <c r="D37" s="983" t="s">
        <v>30</v>
      </c>
    </row>
    <row r="38" spans="2:4" s="757" customFormat="1" ht="12" customHeight="1">
      <c r="B38" s="759" t="s">
        <v>386</v>
      </c>
      <c r="C38" s="983"/>
      <c r="D38" s="983"/>
    </row>
    <row r="39" spans="1:7" s="757" customFormat="1" ht="12" customHeight="1">
      <c r="A39" s="760" t="s">
        <v>31</v>
      </c>
      <c r="B39" s="763">
        <v>478783</v>
      </c>
      <c r="C39" s="763">
        <v>1343200</v>
      </c>
      <c r="D39" s="763">
        <f>B39+C39</f>
        <v>1821983</v>
      </c>
      <c r="E39" s="761"/>
      <c r="F39" s="761"/>
      <c r="G39" s="761"/>
    </row>
    <row r="40" spans="1:7" s="757" customFormat="1" ht="12" customHeight="1">
      <c r="A40" s="760" t="s">
        <v>105</v>
      </c>
      <c r="B40" s="764">
        <v>487924</v>
      </c>
      <c r="C40" s="764">
        <v>1418672</v>
      </c>
      <c r="D40" s="764">
        <f>B40+C40</f>
        <v>1906596</v>
      </c>
      <c r="E40" s="761"/>
      <c r="F40" s="761"/>
      <c r="G40" s="761"/>
    </row>
    <row r="41" spans="1:7" s="757" customFormat="1" ht="12" customHeight="1">
      <c r="A41" s="760" t="s">
        <v>274</v>
      </c>
      <c r="B41" s="764">
        <v>509815</v>
      </c>
      <c r="C41" s="764">
        <v>1518349</v>
      </c>
      <c r="D41" s="764">
        <f>B41+C41</f>
        <v>2028164</v>
      </c>
      <c r="E41" s="761"/>
      <c r="F41" s="761"/>
      <c r="G41" s="761"/>
    </row>
    <row r="42" spans="1:7" s="757" customFormat="1" ht="12" customHeight="1">
      <c r="A42" s="760" t="s">
        <v>75</v>
      </c>
      <c r="B42" s="764">
        <v>508338</v>
      </c>
      <c r="C42" s="764">
        <v>1585267</v>
      </c>
      <c r="D42" s="764">
        <f>B42+C42</f>
        <v>2093605</v>
      </c>
      <c r="E42" s="761"/>
      <c r="F42" s="761"/>
      <c r="G42" s="761"/>
    </row>
    <row r="43" spans="1:7" s="757" customFormat="1" ht="12" customHeight="1" thickBot="1">
      <c r="A43" s="760" t="s">
        <v>131</v>
      </c>
      <c r="B43" s="765">
        <f>SUM(B39:B42)</f>
        <v>1984860</v>
      </c>
      <c r="C43" s="765">
        <f>SUM(C39:C42)</f>
        <v>5865488</v>
      </c>
      <c r="D43" s="765">
        <f>SUM(D39:D42)</f>
        <v>7850348</v>
      </c>
      <c r="E43" s="761"/>
      <c r="F43" s="761"/>
      <c r="G43" s="761"/>
    </row>
    <row r="44" spans="1:7" s="757" customFormat="1" ht="12" customHeight="1" thickTop="1">
      <c r="A44" s="760"/>
      <c r="B44" s="762"/>
      <c r="C44" s="762"/>
      <c r="D44" s="762"/>
      <c r="E44" s="761"/>
      <c r="F44" s="761"/>
      <c r="G44" s="761"/>
    </row>
    <row r="45" spans="1:8" s="757" customFormat="1" ht="12.75">
      <c r="A45" s="982" t="s">
        <v>32</v>
      </c>
      <c r="B45" s="982"/>
      <c r="C45" s="982"/>
      <c r="D45" s="982"/>
      <c r="E45" s="982"/>
      <c r="F45" s="982"/>
      <c r="G45" s="982"/>
      <c r="H45" s="982"/>
    </row>
    <row r="46" spans="1:8" s="757" customFormat="1" ht="12.75">
      <c r="A46" s="982"/>
      <c r="B46" s="982"/>
      <c r="C46" s="982"/>
      <c r="D46" s="982"/>
      <c r="E46" s="982"/>
      <c r="F46" s="982"/>
      <c r="G46" s="982"/>
      <c r="H46" s="982"/>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sheetProtection/>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8.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E1"/>
    </sheetView>
  </sheetViews>
  <sheetFormatPr defaultColWidth="15.710937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66" t="s">
        <v>320</v>
      </c>
      <c r="B1" s="966"/>
      <c r="C1" s="966"/>
      <c r="D1" s="966"/>
      <c r="E1" s="966"/>
    </row>
    <row r="2" spans="1:3" s="20" customFormat="1" ht="15" customHeight="1">
      <c r="A2" s="958"/>
      <c r="B2" s="958"/>
      <c r="C2" s="958"/>
    </row>
    <row r="3" spans="1:5" s="21" customFormat="1" ht="15" customHeight="1">
      <c r="A3" s="984" t="s">
        <v>338</v>
      </c>
      <c r="B3" s="984"/>
      <c r="C3" s="984"/>
      <c r="D3" s="984"/>
      <c r="E3" s="984"/>
    </row>
    <row r="4" spans="1:5" s="21" customFormat="1" ht="15" customHeight="1">
      <c r="A4" s="985" t="s">
        <v>2</v>
      </c>
      <c r="B4" s="984"/>
      <c r="C4" s="984"/>
      <c r="D4" s="984"/>
      <c r="E4" s="984"/>
    </row>
    <row r="5" spans="1:3" s="21" customFormat="1" ht="15" customHeight="1">
      <c r="A5" s="378"/>
      <c r="B5" s="379"/>
      <c r="C5" s="379"/>
    </row>
    <row r="6" spans="1:5" ht="15" customHeight="1">
      <c r="A6" s="369"/>
      <c r="B6" s="886" t="s">
        <v>273</v>
      </c>
      <c r="C6" s="887"/>
      <c r="D6" s="886" t="s">
        <v>88</v>
      </c>
      <c r="E6" s="887"/>
    </row>
    <row r="7" spans="1:5" ht="15" customHeight="1">
      <c r="A7" s="369"/>
      <c r="B7" s="814"/>
      <c r="C7" s="815"/>
      <c r="D7" s="814"/>
      <c r="E7" s="815"/>
    </row>
    <row r="8" spans="1:5" ht="15" customHeight="1">
      <c r="A8" s="816" t="s">
        <v>340</v>
      </c>
      <c r="B8" s="814"/>
      <c r="C8" s="817"/>
      <c r="D8" s="814"/>
      <c r="E8" s="817"/>
    </row>
    <row r="9" spans="1:5" ht="15" customHeight="1">
      <c r="A9" s="816"/>
      <c r="B9" s="814"/>
      <c r="C9" s="817"/>
      <c r="D9" s="814"/>
      <c r="E9" s="817"/>
    </row>
    <row r="10" spans="1:5" ht="15" customHeight="1">
      <c r="A10" s="369" t="s">
        <v>341</v>
      </c>
      <c r="B10" s="380"/>
      <c r="C10" s="561">
        <f>'Earned Incurred QTD-5'!D16</f>
        <v>3433384.8900000015</v>
      </c>
      <c r="D10" s="380"/>
      <c r="E10" s="561">
        <f>'Earned Incurred YTD-6'!D16</f>
        <v>6957109.920000001</v>
      </c>
    </row>
    <row r="11" spans="1:5" ht="15" customHeight="1">
      <c r="A11" s="816"/>
      <c r="B11" s="380"/>
      <c r="C11" s="818"/>
      <c r="D11" s="380"/>
      <c r="E11" s="818"/>
    </row>
    <row r="12" spans="1:5" ht="15" customHeight="1">
      <c r="A12" s="816" t="s">
        <v>342</v>
      </c>
      <c r="B12" s="380"/>
      <c r="C12" s="818"/>
      <c r="D12" s="380"/>
      <c r="E12" s="818"/>
    </row>
    <row r="13" spans="1:5" ht="15" customHeight="1">
      <c r="A13" s="369" t="s">
        <v>343</v>
      </c>
      <c r="B13" s="127">
        <f>'Earned Incurred QTD-5'!D23</f>
        <v>911620.2500000005</v>
      </c>
      <c r="C13" s="818"/>
      <c r="D13" s="127">
        <f>'Earned Incurred YTD-6'!D23</f>
        <v>2841094.8900000006</v>
      </c>
      <c r="E13" s="818"/>
    </row>
    <row r="14" spans="1:5" ht="15" customHeight="1">
      <c r="A14" s="369" t="s">
        <v>344</v>
      </c>
      <c r="B14" s="127">
        <f>'Earned Incurred QTD-5'!D30</f>
        <v>192902.36999999994</v>
      </c>
      <c r="C14" s="818"/>
      <c r="D14" s="127">
        <f>'Earned Incurred YTD-6'!D30</f>
        <v>499326.27999999997</v>
      </c>
      <c r="E14" s="818"/>
    </row>
    <row r="15" spans="1:5" ht="15" customHeight="1">
      <c r="A15" s="369" t="s">
        <v>345</v>
      </c>
      <c r="B15" s="127">
        <f>'Earned Incurred QTD-5'!C37</f>
        <v>304865.79999999993</v>
      </c>
      <c r="C15" s="818"/>
      <c r="D15" s="127">
        <f>'Earned Incurred YTD-6'!C37</f>
        <v>570504.55</v>
      </c>
      <c r="E15" s="818"/>
    </row>
    <row r="16" spans="1:6" ht="15" customHeight="1">
      <c r="A16" s="369" t="s">
        <v>346</v>
      </c>
      <c r="B16" s="127">
        <f>'Earned Incurred QTD-5'!C38+'Earned Incurred QTD-5'!C39+'Earned Incurred QTD-5'!C43+1</f>
        <v>999124.46</v>
      </c>
      <c r="C16" s="818"/>
      <c r="D16" s="127">
        <f>'Earned Incurred YTD-6'!C38+'Earned Incurred YTD-6'!C39+'Earned Incurred YTD-6'!C43</f>
        <v>2040502.3899999994</v>
      </c>
      <c r="E16" s="818"/>
      <c r="F16" s="114"/>
    </row>
    <row r="17" spans="1:5" ht="15" customHeight="1">
      <c r="A17" s="369" t="s">
        <v>168</v>
      </c>
      <c r="B17" s="145">
        <f>'Earned Incurred QTD-5'!D36</f>
        <v>12880.360000000004</v>
      </c>
      <c r="C17" s="818"/>
      <c r="D17" s="145">
        <f>'Earned Incurred YTD-6'!D36</f>
        <v>30755.760000000002</v>
      </c>
      <c r="E17" s="818"/>
    </row>
    <row r="18" spans="1:5" ht="15" customHeight="1">
      <c r="A18" s="369" t="s">
        <v>57</v>
      </c>
      <c r="B18" s="380"/>
      <c r="C18" s="488">
        <f>SUM(B13:B17)-1</f>
        <v>2421392.24</v>
      </c>
      <c r="D18" s="380"/>
      <c r="E18" s="488">
        <f>SUM(D13:D17)</f>
        <v>5982183.87</v>
      </c>
    </row>
    <row r="19" spans="1:5" ht="15" customHeight="1">
      <c r="A19" s="369"/>
      <c r="B19" s="380"/>
      <c r="C19" s="489"/>
      <c r="D19" s="380"/>
      <c r="E19" s="489"/>
    </row>
    <row r="20" spans="1:5" ht="15" customHeight="1">
      <c r="A20" s="369" t="s">
        <v>65</v>
      </c>
      <c r="B20" s="380"/>
      <c r="C20" s="919">
        <f>C10-C18</f>
        <v>1011992.6500000013</v>
      </c>
      <c r="D20" s="380"/>
      <c r="E20" s="489">
        <f>E10-E18</f>
        <v>974926.0500000007</v>
      </c>
    </row>
    <row r="21" spans="1:5" ht="15" customHeight="1">
      <c r="A21" s="816"/>
      <c r="B21" s="380"/>
      <c r="C21" s="489"/>
      <c r="D21" s="380"/>
      <c r="E21" s="489"/>
    </row>
    <row r="22" spans="1:5" ht="15" customHeight="1">
      <c r="A22" s="816" t="s">
        <v>348</v>
      </c>
      <c r="B22" s="380"/>
      <c r="C22" s="489"/>
      <c r="D22" s="380"/>
      <c r="E22" s="489"/>
    </row>
    <row r="23" spans="1:5" ht="15" customHeight="1">
      <c r="A23" s="369" t="s">
        <v>114</v>
      </c>
      <c r="B23" s="380"/>
      <c r="C23" s="488">
        <f>'Earned Incurred QTD-5'!D52</f>
        <v>53291.44999999998</v>
      </c>
      <c r="D23" s="380"/>
      <c r="E23" s="488">
        <f>'Earned Incurred YTD-6'!D52</f>
        <v>141578.59999999998</v>
      </c>
    </row>
    <row r="24" spans="1:5" ht="15" customHeight="1">
      <c r="A24" s="369"/>
      <c r="B24" s="380"/>
      <c r="C24" s="489"/>
      <c r="D24" s="380"/>
      <c r="E24" s="489"/>
    </row>
    <row r="25" spans="1:5" ht="15" customHeight="1" thickBot="1">
      <c r="A25" s="369" t="s">
        <v>66</v>
      </c>
      <c r="B25" s="380"/>
      <c r="C25" s="920">
        <f>C20+C23</f>
        <v>1065284.1000000013</v>
      </c>
      <c r="D25" s="380"/>
      <c r="E25" s="490">
        <f>E20+E23</f>
        <v>1116504.6500000008</v>
      </c>
    </row>
    <row r="26" spans="1:5" ht="15" customHeight="1">
      <c r="A26" s="816"/>
      <c r="B26" s="380"/>
      <c r="C26" s="641"/>
      <c r="D26" s="380"/>
      <c r="E26" s="641"/>
    </row>
    <row r="27" spans="1:5" ht="15" customHeight="1">
      <c r="A27" s="816" t="s">
        <v>336</v>
      </c>
      <c r="B27" s="380"/>
      <c r="C27" s="489"/>
      <c r="D27" s="380"/>
      <c r="E27" s="489"/>
    </row>
    <row r="28" spans="1:5" ht="15" customHeight="1">
      <c r="A28" s="369" t="s">
        <v>113</v>
      </c>
      <c r="B28" s="380"/>
      <c r="C28" s="919">
        <v>-1677144.26</v>
      </c>
      <c r="D28" s="380"/>
      <c r="E28" s="919">
        <v>-1793164.5</v>
      </c>
    </row>
    <row r="29" spans="1:5" ht="15" customHeight="1">
      <c r="A29" s="369" t="s">
        <v>60</v>
      </c>
      <c r="B29" s="921">
        <f>C25</f>
        <v>1065284.1000000013</v>
      </c>
      <c r="C29" s="489"/>
      <c r="D29" s="127">
        <f>E25</f>
        <v>1116504.6500000008</v>
      </c>
      <c r="E29" s="489"/>
    </row>
    <row r="30" spans="1:6" ht="15" customHeight="1">
      <c r="A30" s="369" t="s">
        <v>351</v>
      </c>
      <c r="B30" s="934">
        <f>-'[7]2Q09 Trial Balance'!$C$214</f>
        <v>65224.59</v>
      </c>
      <c r="C30" s="489"/>
      <c r="D30" s="922">
        <v>130025.28</v>
      </c>
      <c r="E30" s="489"/>
      <c r="F30" s="114"/>
    </row>
    <row r="31" spans="3:7" ht="14.25">
      <c r="C31" s="489"/>
      <c r="D31" s="127"/>
      <c r="E31" s="489"/>
      <c r="F31" s="127"/>
      <c r="G31" s="127"/>
    </row>
    <row r="32" spans="1:7" ht="15" customHeight="1">
      <c r="A32" s="369" t="s">
        <v>352</v>
      </c>
      <c r="C32" s="919">
        <f>SUM(B29:B32)</f>
        <v>1130508.6900000013</v>
      </c>
      <c r="D32" s="127"/>
      <c r="E32" s="919">
        <f>SUM(D29:D32)</f>
        <v>1246529.9300000009</v>
      </c>
      <c r="G32" s="114"/>
    </row>
    <row r="33" spans="1:5" ht="15" customHeight="1">
      <c r="A33" s="369"/>
      <c r="C33" s="819"/>
      <c r="D33" s="127"/>
      <c r="E33" s="819"/>
    </row>
    <row r="34" spans="1:5" ht="15" customHeight="1" thickBot="1">
      <c r="A34" s="820" t="s">
        <v>3</v>
      </c>
      <c r="B34" s="380"/>
      <c r="C34" s="923">
        <f>C28+C32+1</f>
        <v>-546634.5699999987</v>
      </c>
      <c r="D34" s="380"/>
      <c r="E34" s="923">
        <f>E28+E32</f>
        <v>-546634.5699999991</v>
      </c>
    </row>
    <row r="35" spans="2:5" s="14" customFormat="1" ht="15" customHeight="1" thickTop="1">
      <c r="B35" s="256"/>
      <c r="C35" s="127"/>
      <c r="D35" s="369"/>
      <c r="E35" s="127"/>
    </row>
    <row r="36" spans="3:5" ht="15" customHeight="1">
      <c r="C36" s="347"/>
      <c r="E36" s="347"/>
    </row>
    <row r="39" s="127" customFormat="1" ht="15" customHeight="1"/>
  </sheetData>
  <sheetProtection/>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88"/>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86" t="s">
        <v>320</v>
      </c>
      <c r="B1" s="986"/>
      <c r="C1" s="986"/>
      <c r="D1" s="986"/>
      <c r="E1" s="986"/>
      <c r="F1" s="986"/>
      <c r="G1" s="986"/>
    </row>
    <row r="2" spans="1:7" s="27" customFormat="1" ht="15" customHeight="1">
      <c r="A2" s="987"/>
      <c r="B2" s="987"/>
      <c r="C2" s="987"/>
      <c r="D2" s="987"/>
      <c r="E2" s="987"/>
      <c r="F2" s="987"/>
      <c r="G2" s="987"/>
    </row>
    <row r="3" spans="1:7" s="773" customFormat="1" ht="15" customHeight="1">
      <c r="A3" s="988" t="s">
        <v>353</v>
      </c>
      <c r="B3" s="988"/>
      <c r="C3" s="988"/>
      <c r="D3" s="988"/>
      <c r="E3" s="988"/>
      <c r="F3" s="988"/>
      <c r="G3" s="988"/>
    </row>
    <row r="4" spans="1:7" s="773" customFormat="1" ht="15" customHeight="1">
      <c r="A4" s="988" t="s">
        <v>4</v>
      </c>
      <c r="B4" s="988"/>
      <c r="C4" s="988"/>
      <c r="D4" s="988"/>
      <c r="E4" s="988"/>
      <c r="F4" s="988"/>
      <c r="G4" s="988"/>
    </row>
    <row r="5" spans="1:7" s="29" customFormat="1" ht="15" customHeight="1">
      <c r="A5" s="381"/>
      <c r="B5" s="797"/>
      <c r="C5" s="797"/>
      <c r="D5" s="798"/>
      <c r="E5" s="799"/>
      <c r="F5" s="799"/>
      <c r="G5" s="800"/>
    </row>
    <row r="6" spans="1:7" s="776" customFormat="1" ht="30" customHeight="1">
      <c r="A6" s="821"/>
      <c r="B6" s="904" t="s">
        <v>16</v>
      </c>
      <c r="C6" s="904" t="s">
        <v>67</v>
      </c>
      <c r="D6" s="904" t="s">
        <v>62</v>
      </c>
      <c r="E6" s="904" t="s">
        <v>70</v>
      </c>
      <c r="F6" s="905" t="s">
        <v>17</v>
      </c>
      <c r="G6" s="885" t="s">
        <v>321</v>
      </c>
    </row>
    <row r="7" spans="1:7" s="777" customFormat="1" ht="15" customHeight="1">
      <c r="A7" s="822" t="s">
        <v>355</v>
      </c>
      <c r="B7" s="823"/>
      <c r="C7" s="823"/>
      <c r="D7" s="824"/>
      <c r="E7" s="824"/>
      <c r="F7" s="824"/>
      <c r="G7" s="824"/>
    </row>
    <row r="8" spans="1:7" s="775" customFormat="1" ht="15" customHeight="1">
      <c r="A8" s="825" t="s">
        <v>356</v>
      </c>
      <c r="B8" s="925">
        <f>'Premiums QTD-7'!B12</f>
        <v>3451859</v>
      </c>
      <c r="C8" s="925">
        <f>'Premiums QTD-7'!C12</f>
        <v>-37836</v>
      </c>
      <c r="D8" s="925">
        <f>'Premiums QTD-7'!D12</f>
        <v>-2559</v>
      </c>
      <c r="E8" s="925">
        <f>'Premiums QTD-7'!E12</f>
        <v>-2274</v>
      </c>
      <c r="F8" s="925">
        <f>'Premiums QTD-7'!F12</f>
        <v>-2194</v>
      </c>
      <c r="G8" s="826">
        <f>SUM(B8:F8)</f>
        <v>3406996</v>
      </c>
    </row>
    <row r="9" spans="1:7" s="775" customFormat="1" ht="15" customHeight="1">
      <c r="A9" s="825" t="s">
        <v>357</v>
      </c>
      <c r="B9" s="827">
        <f>'Earned Incurred QTD-5'!C48</f>
        <v>102643.92999999998</v>
      </c>
      <c r="C9" s="827">
        <v>0</v>
      </c>
      <c r="D9" s="827">
        <v>0</v>
      </c>
      <c r="E9" s="827">
        <v>0</v>
      </c>
      <c r="F9" s="827">
        <v>0</v>
      </c>
      <c r="G9" s="827">
        <f>SUM(B9:F9)</f>
        <v>102643.92999999998</v>
      </c>
    </row>
    <row r="10" spans="1:7" s="775" customFormat="1" ht="15" customHeight="1" thickBot="1">
      <c r="A10" s="828" t="s">
        <v>358</v>
      </c>
      <c r="B10" s="926">
        <f aca="true" t="shared" si="0" ref="B10:G10">SUM(B8:B9)</f>
        <v>3554502.93</v>
      </c>
      <c r="C10" s="926">
        <f t="shared" si="0"/>
        <v>-37836</v>
      </c>
      <c r="D10" s="926">
        <f t="shared" si="0"/>
        <v>-2559</v>
      </c>
      <c r="E10" s="926">
        <f t="shared" si="0"/>
        <v>-2274</v>
      </c>
      <c r="F10" s="926">
        <f t="shared" si="0"/>
        <v>-2194</v>
      </c>
      <c r="G10" s="830">
        <f t="shared" si="0"/>
        <v>3509639.93</v>
      </c>
    </row>
    <row r="11" spans="1:7" s="775" customFormat="1" ht="15" customHeight="1" thickTop="1">
      <c r="A11" s="828"/>
      <c r="B11" s="831"/>
      <c r="C11" s="831"/>
      <c r="D11" s="831"/>
      <c r="E11" s="827"/>
      <c r="F11" s="827"/>
      <c r="G11" s="827"/>
    </row>
    <row r="12" spans="1:7" s="775" customFormat="1" ht="15" customHeight="1">
      <c r="A12" s="822" t="s">
        <v>359</v>
      </c>
      <c r="B12" s="824"/>
      <c r="C12" s="824"/>
      <c r="D12" s="824"/>
      <c r="E12" s="832"/>
      <c r="F12" s="832"/>
      <c r="G12" s="827"/>
    </row>
    <row r="13" spans="1:7" s="775" customFormat="1" ht="15" customHeight="1">
      <c r="A13" s="828" t="s">
        <v>360</v>
      </c>
      <c r="B13" s="927">
        <f>'Losses Incurred QTD-9'!B12</f>
        <v>720946.84</v>
      </c>
      <c r="C13" s="927">
        <f>'Losses Incurred QTD-9'!C12</f>
        <v>1567600.6600000001</v>
      </c>
      <c r="D13" s="927">
        <f>'Losses Incurred QTD-9'!D12</f>
        <v>14328.62</v>
      </c>
      <c r="E13" s="927">
        <f>'Losses Incurred QTD-9'!E12</f>
        <v>115777.19</v>
      </c>
      <c r="F13" s="927">
        <f>'Losses Incurred QTD-9'!F12</f>
        <v>-7429.070000000001</v>
      </c>
      <c r="G13" s="827">
        <f>SUM(B13:F13)+1</f>
        <v>2411225.24</v>
      </c>
    </row>
    <row r="14" spans="1:7" s="775" customFormat="1" ht="15" customHeight="1">
      <c r="A14" s="828" t="s">
        <v>361</v>
      </c>
      <c r="B14" s="827">
        <f>'[7]Loss Expenses Paid QTD-15'!C36</f>
        <v>24111.9</v>
      </c>
      <c r="C14" s="827">
        <f>'[7]Loss Expenses Paid QTD-15'!C30</f>
        <v>106782.07</v>
      </c>
      <c r="D14" s="827">
        <f>'[7]Loss Expenses Paid QTD-15'!C24</f>
        <v>16424.13</v>
      </c>
      <c r="E14" s="827">
        <f>'[7]Loss Expenses Paid QTD-15'!C18</f>
        <v>5015.29</v>
      </c>
      <c r="F14" s="827">
        <f>'[7]Loss Expenses Paid QTD-15'!C12</f>
        <v>4568.83</v>
      </c>
      <c r="G14" s="827">
        <f aca="true" t="shared" si="1" ref="G14:G20">SUM(B14:F14)</f>
        <v>156902.22</v>
      </c>
    </row>
    <row r="15" spans="1:7" s="775" customFormat="1" ht="15" customHeight="1">
      <c r="A15" s="828" t="s">
        <v>362</v>
      </c>
      <c r="B15" s="827">
        <f>'[7]Loss Expenses Paid QTD-15'!I36</f>
        <v>40724.869999999995</v>
      </c>
      <c r="C15" s="827">
        <f>'[7]Loss Expenses Paid QTD-15'!I30</f>
        <v>88780.15</v>
      </c>
      <c r="D15" s="827">
        <f>'[7]Loss Expenses Paid QTD-15'!I24</f>
        <v>1179.01</v>
      </c>
      <c r="E15" s="827">
        <f>'[7]Loss Expenses Paid QTD-15'!I18</f>
        <v>6540.03</v>
      </c>
      <c r="F15" s="927">
        <f>'[7]Loss Expenses Paid QTD-15'!I12</f>
        <v>-369.31</v>
      </c>
      <c r="G15" s="827">
        <f>SUM(B15:F15)</f>
        <v>136854.75</v>
      </c>
    </row>
    <row r="16" spans="1:7" s="775" customFormat="1" ht="15" customHeight="1">
      <c r="A16" s="828" t="s">
        <v>363</v>
      </c>
      <c r="B16" s="827">
        <f>'[7]2Q09 Trial Balance'!D429</f>
        <v>7438.97</v>
      </c>
      <c r="C16" s="827">
        <v>0</v>
      </c>
      <c r="D16" s="827">
        <v>0</v>
      </c>
      <c r="E16" s="827">
        <v>0</v>
      </c>
      <c r="F16" s="827">
        <v>0</v>
      </c>
      <c r="G16" s="827">
        <f t="shared" si="1"/>
        <v>7438.97</v>
      </c>
    </row>
    <row r="17" spans="1:8" s="775" customFormat="1" ht="15" customHeight="1">
      <c r="A17" s="833" t="s">
        <v>364</v>
      </c>
      <c r="B17" s="827">
        <f>'[7]2Q09 Trial Balance'!D435</f>
        <v>33738.770000000004</v>
      </c>
      <c r="C17" s="827">
        <v>0</v>
      </c>
      <c r="D17" s="827">
        <v>0</v>
      </c>
      <c r="E17" s="827">
        <v>0</v>
      </c>
      <c r="F17" s="827">
        <v>0</v>
      </c>
      <c r="G17" s="827">
        <f t="shared" si="1"/>
        <v>33738.770000000004</v>
      </c>
      <c r="H17" s="779"/>
    </row>
    <row r="18" spans="1:8" s="775" customFormat="1" ht="15" customHeight="1">
      <c r="A18" s="828" t="s">
        <v>366</v>
      </c>
      <c r="B18" s="827">
        <f>'[7]2Q09 Trial Balance'!D431</f>
        <v>3300</v>
      </c>
      <c r="C18" s="827">
        <v>0</v>
      </c>
      <c r="D18" s="827">
        <v>0</v>
      </c>
      <c r="E18" s="827">
        <v>0</v>
      </c>
      <c r="F18" s="827">
        <v>0</v>
      </c>
      <c r="G18" s="827">
        <f t="shared" si="1"/>
        <v>3300</v>
      </c>
      <c r="H18" s="779"/>
    </row>
    <row r="19" spans="1:7" s="775" customFormat="1" ht="15" customHeight="1">
      <c r="A19" s="833" t="s">
        <v>365</v>
      </c>
      <c r="B19" s="827">
        <f>'[7]2Q09 Trial Balance'!D424</f>
        <v>308719</v>
      </c>
      <c r="C19" s="927">
        <f>'[7]2Q09 Trial Balance'!D420</f>
        <v>-3150.5</v>
      </c>
      <c r="D19" s="927">
        <f>'[7]2Q09 Trial Balance'!D416</f>
        <v>-255.9</v>
      </c>
      <c r="E19" s="927">
        <f>'[7]2Q09 Trial Balance'!D413</f>
        <v>-227.4</v>
      </c>
      <c r="F19" s="927">
        <f>'[7]2Q09 Trial Balance'!D410</f>
        <v>-219.4</v>
      </c>
      <c r="G19" s="827">
        <f t="shared" si="1"/>
        <v>304865.79999999993</v>
      </c>
    </row>
    <row r="20" spans="1:8" s="775" customFormat="1" ht="15" customHeight="1">
      <c r="A20" s="828" t="s">
        <v>367</v>
      </c>
      <c r="B20" s="827">
        <f>'Earned Incurred QTD-5'!C39</f>
        <v>1002385.1499999999</v>
      </c>
      <c r="C20" s="827">
        <v>0</v>
      </c>
      <c r="D20" s="827">
        <v>0</v>
      </c>
      <c r="E20" s="827">
        <v>0</v>
      </c>
      <c r="F20" s="827">
        <v>0</v>
      </c>
      <c r="G20" s="827">
        <f t="shared" si="1"/>
        <v>1002385.1499999999</v>
      </c>
      <c r="H20" s="779"/>
    </row>
    <row r="21" spans="1:8" s="775" customFormat="1" ht="15" customHeight="1">
      <c r="A21" s="828" t="s">
        <v>166</v>
      </c>
      <c r="B21" s="827">
        <f>10125+9722.52</f>
        <v>19847.52</v>
      </c>
      <c r="C21" s="827">
        <v>10125</v>
      </c>
      <c r="D21" s="827">
        <v>0</v>
      </c>
      <c r="E21" s="827">
        <v>0</v>
      </c>
      <c r="F21" s="827">
        <v>0</v>
      </c>
      <c r="G21" s="827">
        <f>SUM(B21:F21)</f>
        <v>29972.52</v>
      </c>
      <c r="H21" s="779"/>
    </row>
    <row r="22" spans="1:8" s="775" customFormat="1" ht="15" customHeight="1" thickBot="1">
      <c r="A22" s="828" t="s">
        <v>358</v>
      </c>
      <c r="B22" s="926">
        <f>SUM(B13:B21)+1</f>
        <v>2161214.02</v>
      </c>
      <c r="C22" s="926">
        <f>SUM(C13:C21)</f>
        <v>1770137.3800000001</v>
      </c>
      <c r="D22" s="926">
        <f>SUM(D13:D21)</f>
        <v>31675.859999999997</v>
      </c>
      <c r="E22" s="926">
        <f>SUM(E13:E21)</f>
        <v>127105.11</v>
      </c>
      <c r="F22" s="926">
        <f>SUM(F13:F21)+1</f>
        <v>-3447.9500000000007</v>
      </c>
      <c r="G22" s="830">
        <f>SUM(G13:G21)+1</f>
        <v>4086684.4200000004</v>
      </c>
      <c r="H22" s="778"/>
    </row>
    <row r="23" spans="1:7" s="775" customFormat="1" ht="15" customHeight="1" thickTop="1">
      <c r="A23" s="828"/>
      <c r="B23" s="831"/>
      <c r="C23" s="831"/>
      <c r="D23" s="831"/>
      <c r="E23" s="827"/>
      <c r="F23" s="827"/>
      <c r="G23" s="827"/>
    </row>
    <row r="24" spans="1:7" s="775" customFormat="1" ht="15" customHeight="1" thickBot="1">
      <c r="A24" s="834" t="s">
        <v>368</v>
      </c>
      <c r="B24" s="928">
        <f>B10-B22</f>
        <v>1393288.9100000001</v>
      </c>
      <c r="C24" s="928">
        <f>C10-C22</f>
        <v>-1807973.3800000001</v>
      </c>
      <c r="D24" s="928">
        <f>D10-D22</f>
        <v>-34234.86</v>
      </c>
      <c r="E24" s="928">
        <f>E10-E22</f>
        <v>-129379.11</v>
      </c>
      <c r="F24" s="928">
        <f>F10-F22</f>
        <v>1253.9500000000007</v>
      </c>
      <c r="G24" s="930">
        <f>SUM(B24:F24)</f>
        <v>-577044.49</v>
      </c>
    </row>
    <row r="25" spans="1:7" s="775" customFormat="1" ht="15" customHeight="1" thickTop="1">
      <c r="A25" s="828"/>
      <c r="B25" s="831"/>
      <c r="C25" s="831"/>
      <c r="D25" s="831"/>
      <c r="E25" s="827"/>
      <c r="F25" s="827"/>
      <c r="G25" s="827"/>
    </row>
    <row r="26" spans="1:7" s="775" customFormat="1" ht="15" customHeight="1">
      <c r="A26" s="822" t="s">
        <v>369</v>
      </c>
      <c r="B26" s="824"/>
      <c r="C26" s="824"/>
      <c r="D26" s="824"/>
      <c r="E26" s="832"/>
      <c r="F26" s="832"/>
      <c r="G26" s="827"/>
    </row>
    <row r="27" spans="1:7" s="775" customFormat="1" ht="15" customHeight="1">
      <c r="A27" s="828" t="s">
        <v>370</v>
      </c>
      <c r="B27" s="827">
        <v>92031.31</v>
      </c>
      <c r="C27" s="827">
        <v>0</v>
      </c>
      <c r="D27" s="827">
        <v>0</v>
      </c>
      <c r="E27" s="827">
        <v>0</v>
      </c>
      <c r="F27" s="827">
        <v>0</v>
      </c>
      <c r="G27" s="827">
        <f>SUM(B27:F27)</f>
        <v>92031.31</v>
      </c>
    </row>
    <row r="28" spans="1:8" s="775" customFormat="1" ht="15" customHeight="1">
      <c r="A28" s="828" t="s">
        <v>371</v>
      </c>
      <c r="B28" s="827">
        <f>'Balance Sheet-1'!D14</f>
        <v>585281.7000000001</v>
      </c>
      <c r="C28" s="827">
        <v>0</v>
      </c>
      <c r="D28" s="827">
        <v>0</v>
      </c>
      <c r="E28" s="827">
        <v>0</v>
      </c>
      <c r="F28" s="827">
        <v>0</v>
      </c>
      <c r="G28" s="827">
        <f>SUM(B28:F28)</f>
        <v>585281.7000000001</v>
      </c>
      <c r="H28" s="779"/>
    </row>
    <row r="29" spans="1:8" s="775" customFormat="1" ht="15" customHeight="1" thickBot="1">
      <c r="A29" s="828" t="s">
        <v>358</v>
      </c>
      <c r="B29" s="829">
        <f aca="true" t="shared" si="2" ref="B29:G29">SUM(B27:B28)</f>
        <v>677313.01</v>
      </c>
      <c r="C29" s="829">
        <f t="shared" si="2"/>
        <v>0</v>
      </c>
      <c r="D29" s="829">
        <f t="shared" si="2"/>
        <v>0</v>
      </c>
      <c r="E29" s="829">
        <f t="shared" si="2"/>
        <v>0</v>
      </c>
      <c r="F29" s="829">
        <f t="shared" si="2"/>
        <v>0</v>
      </c>
      <c r="G29" s="830">
        <f t="shared" si="2"/>
        <v>677313.01</v>
      </c>
      <c r="H29" s="779"/>
    </row>
    <row r="30" spans="1:7" s="775" customFormat="1" ht="15" customHeight="1" thickTop="1">
      <c r="A30" s="828"/>
      <c r="B30" s="831"/>
      <c r="C30" s="831"/>
      <c r="D30" s="831"/>
      <c r="E30" s="827"/>
      <c r="F30" s="827"/>
      <c r="G30" s="827"/>
    </row>
    <row r="31" spans="1:7" s="775" customFormat="1" ht="15" customHeight="1">
      <c r="A31" s="822" t="s">
        <v>372</v>
      </c>
      <c r="B31" s="824"/>
      <c r="C31" s="824"/>
      <c r="D31" s="824"/>
      <c r="E31" s="832"/>
      <c r="F31" s="832"/>
      <c r="G31" s="827"/>
    </row>
    <row r="32" spans="1:7" s="775" customFormat="1" ht="15" customHeight="1">
      <c r="A32" s="828" t="s">
        <v>373</v>
      </c>
      <c r="B32" s="827">
        <f>'Earned Incurred QTD-5'!B49</f>
        <v>42677.83</v>
      </c>
      <c r="C32" s="827">
        <v>0</v>
      </c>
      <c r="D32" s="827">
        <v>0</v>
      </c>
      <c r="E32" s="827">
        <v>0</v>
      </c>
      <c r="F32" s="827">
        <v>0</v>
      </c>
      <c r="G32" s="827">
        <f>SUM(B32:F32)</f>
        <v>42677.83</v>
      </c>
    </row>
    <row r="33" spans="1:9" s="775" customFormat="1" ht="15" customHeight="1">
      <c r="A33" s="828" t="s">
        <v>374</v>
      </c>
      <c r="B33" s="827">
        <v>650507.29</v>
      </c>
      <c r="C33" s="827">
        <v>0</v>
      </c>
      <c r="D33" s="827">
        <v>0</v>
      </c>
      <c r="E33" s="827">
        <v>0</v>
      </c>
      <c r="F33" s="827">
        <v>0</v>
      </c>
      <c r="G33" s="827">
        <f>SUM(B33:F33)</f>
        <v>650507.29</v>
      </c>
      <c r="H33" s="779"/>
      <c r="I33" s="779"/>
    </row>
    <row r="34" spans="1:8" s="775" customFormat="1" ht="15" customHeight="1" thickBot="1">
      <c r="A34" s="828" t="s">
        <v>358</v>
      </c>
      <c r="B34" s="829">
        <f aca="true" t="shared" si="3" ref="B34:G34">SUM(B32:B33)</f>
        <v>693185.12</v>
      </c>
      <c r="C34" s="829">
        <f t="shared" si="3"/>
        <v>0</v>
      </c>
      <c r="D34" s="829">
        <f t="shared" si="3"/>
        <v>0</v>
      </c>
      <c r="E34" s="829">
        <f t="shared" si="3"/>
        <v>0</v>
      </c>
      <c r="F34" s="829">
        <f t="shared" si="3"/>
        <v>0</v>
      </c>
      <c r="G34" s="830">
        <f t="shared" si="3"/>
        <v>693185.12</v>
      </c>
      <c r="H34" s="779"/>
    </row>
    <row r="35" spans="1:7" s="775" customFormat="1" ht="15" customHeight="1" thickTop="1">
      <c r="A35" s="828"/>
      <c r="B35" s="831"/>
      <c r="C35" s="831"/>
      <c r="D35" s="831"/>
      <c r="E35" s="827"/>
      <c r="F35" s="827"/>
      <c r="G35" s="835"/>
    </row>
    <row r="36" spans="1:7" s="775" customFormat="1" ht="15" customHeight="1" thickBot="1">
      <c r="A36" s="822" t="s">
        <v>375</v>
      </c>
      <c r="B36" s="928">
        <f>B24-B29+B34</f>
        <v>1409161.02</v>
      </c>
      <c r="C36" s="928">
        <f>C24-C29+C34</f>
        <v>-1807973.3800000001</v>
      </c>
      <c r="D36" s="928">
        <f>D24-D29+D34</f>
        <v>-34234.86</v>
      </c>
      <c r="E36" s="928">
        <f>E24-E29+E34</f>
        <v>-129379.11</v>
      </c>
      <c r="F36" s="928">
        <f>F24-F29+F34</f>
        <v>1253.9500000000007</v>
      </c>
      <c r="G36" s="930">
        <f>SUM(B36:F36)</f>
        <v>-561172.3800000001</v>
      </c>
    </row>
    <row r="37" spans="1:7" s="775" customFormat="1" ht="15" customHeight="1" thickTop="1">
      <c r="A37" s="828"/>
      <c r="B37" s="831"/>
      <c r="C37" s="831"/>
      <c r="D37" s="831"/>
      <c r="E37" s="827"/>
      <c r="F37" s="827"/>
      <c r="G37" s="827"/>
    </row>
    <row r="38" spans="1:7" s="775" customFormat="1" ht="15" customHeight="1">
      <c r="A38" s="836" t="s">
        <v>170</v>
      </c>
      <c r="B38" s="837"/>
      <c r="C38" s="837"/>
      <c r="D38" s="837"/>
      <c r="E38" s="827"/>
      <c r="F38" s="827"/>
      <c r="G38" s="827"/>
    </row>
    <row r="39" spans="1:7" s="775" customFormat="1" ht="15" customHeight="1">
      <c r="A39" s="828" t="s">
        <v>333</v>
      </c>
      <c r="B39" s="827">
        <f>'Premiums QTD-7'!B18</f>
        <v>4915996.85</v>
      </c>
      <c r="C39" s="827">
        <f>'Premiums QTD-7'!C18</f>
        <v>1720422.23</v>
      </c>
      <c r="D39" s="827">
        <f>'Premiums QTD-7'!D18</f>
        <v>0</v>
      </c>
      <c r="E39" s="827">
        <f>'Premiums QTD-7'!E18</f>
        <v>0</v>
      </c>
      <c r="F39" s="827">
        <f>'Premiums QTD-7'!F18</f>
        <v>0</v>
      </c>
      <c r="G39" s="827">
        <f>SUM(B39:F39)</f>
        <v>6636419.08</v>
      </c>
    </row>
    <row r="40" spans="1:7" s="775" customFormat="1" ht="15" customHeight="1">
      <c r="A40" s="828" t="s">
        <v>376</v>
      </c>
      <c r="B40" s="827">
        <f>'Losses Incurred QTD-9'!B18+'Losses Incurred QTD-9'!B24</f>
        <v>382003.06</v>
      </c>
      <c r="C40" s="827">
        <f>'Losses Incurred QTD-9'!C18+'Losses Incurred QTD-9'!C24</f>
        <v>1579139.19</v>
      </c>
      <c r="D40" s="827">
        <f>'Losses Incurred QTD-9'!D18+'Losses Incurred QTD-9'!D24</f>
        <v>111755</v>
      </c>
      <c r="E40" s="827">
        <f>'Losses Incurred QTD-9'!E18+'Losses Incurred QTD-9'!E24</f>
        <v>49500</v>
      </c>
      <c r="F40" s="827">
        <f>'Losses Incurred QTD-9'!F18+'Losses Incurred QTD-9'!F24</f>
        <v>246980.6</v>
      </c>
      <c r="G40" s="827">
        <f>SUM(B40:F40)</f>
        <v>2369377.85</v>
      </c>
    </row>
    <row r="41" spans="1:7" s="775" customFormat="1" ht="15" customHeight="1">
      <c r="A41" s="828" t="s">
        <v>377</v>
      </c>
      <c r="B41" s="827">
        <f>'Loss Expenses QTD-11'!B18</f>
        <v>79698.45000000001</v>
      </c>
      <c r="C41" s="827">
        <f>'Loss Expenses QTD-11'!C18</f>
        <v>179289.97999999998</v>
      </c>
      <c r="D41" s="827">
        <f>'Loss Expenses QTD-11'!D18</f>
        <v>46441.78</v>
      </c>
      <c r="E41" s="827">
        <f>'Loss Expenses QTD-11'!E18</f>
        <v>18590.85</v>
      </c>
      <c r="F41" s="827">
        <f>'Loss Expenses QTD-11'!F18</f>
        <v>13229.48</v>
      </c>
      <c r="G41" s="827">
        <f>SUM(B41:F41)-1</f>
        <v>337249.5399999999</v>
      </c>
    </row>
    <row r="42" spans="1:7" s="775" customFormat="1" ht="15" customHeight="1">
      <c r="A42" s="828" t="s">
        <v>378</v>
      </c>
      <c r="B42" s="827">
        <f>'Earned Incurred QTD-5'!B41</f>
        <v>178226.86000000002</v>
      </c>
      <c r="C42" s="827">
        <v>0</v>
      </c>
      <c r="D42" s="827">
        <v>0</v>
      </c>
      <c r="E42" s="827">
        <v>0</v>
      </c>
      <c r="F42" s="827">
        <v>0</v>
      </c>
      <c r="G42" s="827">
        <f>SUM(B42:F42)</f>
        <v>178226.86000000002</v>
      </c>
    </row>
    <row r="43" spans="1:7" s="775" customFormat="1" ht="15" customHeight="1">
      <c r="A43" s="828" t="s">
        <v>379</v>
      </c>
      <c r="B43" s="827">
        <f>'Earned Incurred QTD-5'!B33</f>
        <v>17092.15</v>
      </c>
      <c r="C43" s="827">
        <v>0</v>
      </c>
      <c r="D43" s="827">
        <v>0</v>
      </c>
      <c r="E43" s="827">
        <v>0</v>
      </c>
      <c r="F43" s="827">
        <v>0</v>
      </c>
      <c r="G43" s="827">
        <f>SUM(B43:F43)</f>
        <v>17092.15</v>
      </c>
    </row>
    <row r="44" spans="1:7" s="775" customFormat="1" ht="15" customHeight="1" thickBot="1">
      <c r="A44" s="838" t="s">
        <v>358</v>
      </c>
      <c r="B44" s="829">
        <f>SUM(B39:B43)</f>
        <v>5573017.37</v>
      </c>
      <c r="C44" s="829">
        <f>SUM(C39:C43)</f>
        <v>3478851.4</v>
      </c>
      <c r="D44" s="829">
        <f>SUM(D39:D43)</f>
        <v>158196.78</v>
      </c>
      <c r="E44" s="829">
        <f>SUM(E39:E43)</f>
        <v>68090.85</v>
      </c>
      <c r="F44" s="829">
        <f>SUM(F39:F43)</f>
        <v>260210.08000000002</v>
      </c>
      <c r="G44" s="830">
        <f>SUM(G39:G43)+1</f>
        <v>9538366.479999999</v>
      </c>
    </row>
    <row r="45" spans="1:7" s="775" customFormat="1" ht="15" customHeight="1" thickTop="1">
      <c r="A45" s="828"/>
      <c r="B45" s="831"/>
      <c r="C45" s="831"/>
      <c r="D45" s="831"/>
      <c r="E45" s="827"/>
      <c r="F45" s="827"/>
      <c r="G45" s="827"/>
    </row>
    <row r="46" spans="1:7" s="775" customFormat="1" ht="15" customHeight="1">
      <c r="A46" s="836" t="s">
        <v>171</v>
      </c>
      <c r="B46" s="837"/>
      <c r="C46" s="837"/>
      <c r="D46" s="837"/>
      <c r="E46" s="827"/>
      <c r="F46" s="827"/>
      <c r="G46" s="827"/>
    </row>
    <row r="47" spans="1:8" s="775" customFormat="1" ht="15" customHeight="1">
      <c r="A47" s="828" t="s">
        <v>333</v>
      </c>
      <c r="B47" s="827">
        <f>'Premiums QTD-7'!B24</f>
        <v>2678336.54</v>
      </c>
      <c r="C47" s="827">
        <f>'Premiums QTD-7'!C24</f>
        <v>3984471.43</v>
      </c>
      <c r="D47" s="827">
        <f>'Premiums QTD-7'!D24</f>
        <v>0</v>
      </c>
      <c r="E47" s="827">
        <f>'Premiums QTD-7'!E24</f>
        <v>0</v>
      </c>
      <c r="F47" s="827">
        <f>'Premiums QTD-7'!F24</f>
        <v>0</v>
      </c>
      <c r="G47" s="827">
        <f aca="true" t="shared" si="4" ref="G47:G52">SUM(B47:F47)</f>
        <v>6662807.970000001</v>
      </c>
      <c r="H47" s="938"/>
    </row>
    <row r="48" spans="1:8" s="775" customFormat="1" ht="15" customHeight="1">
      <c r="A48" s="828" t="s">
        <v>376</v>
      </c>
      <c r="B48" s="827">
        <f>'Losses Incurred QTD-9'!B31</f>
        <v>719140</v>
      </c>
      <c r="C48" s="827">
        <f>'Losses Incurred QTD-9'!C31</f>
        <v>2669179.9299999997</v>
      </c>
      <c r="D48" s="827">
        <f>'Losses Incurred QTD-9'!D31</f>
        <v>186355</v>
      </c>
      <c r="E48" s="827">
        <f>'Losses Incurred QTD-9'!E31</f>
        <v>174327.31</v>
      </c>
      <c r="F48" s="827">
        <f>'Losses Incurred QTD-9'!F31</f>
        <v>119980.6</v>
      </c>
      <c r="G48" s="827">
        <f t="shared" si="4"/>
        <v>3868982.84</v>
      </c>
      <c r="H48" s="779"/>
    </row>
    <row r="49" spans="1:8" s="775" customFormat="1" ht="15" customHeight="1">
      <c r="A49" s="828" t="s">
        <v>380</v>
      </c>
      <c r="B49" s="827">
        <f>'Loss Expenses QTD-11'!B24</f>
        <v>41691.7</v>
      </c>
      <c r="C49" s="827">
        <f>'Loss Expenses QTD-11'!C24</f>
        <v>288325.6</v>
      </c>
      <c r="D49" s="827">
        <f>'Loss Expenses QTD-11'!D24</f>
        <v>68159.2</v>
      </c>
      <c r="E49" s="827">
        <f>'Loss Expenses QTD-11'!E24</f>
        <v>26831.32</v>
      </c>
      <c r="F49" s="827">
        <f>'Loss Expenses QTD-11'!F24</f>
        <v>13097.32</v>
      </c>
      <c r="G49" s="827">
        <f t="shared" si="4"/>
        <v>438105.14</v>
      </c>
      <c r="H49" s="779"/>
    </row>
    <row r="50" spans="1:7" s="775" customFormat="1" ht="15" customHeight="1">
      <c r="A50" s="828" t="s">
        <v>378</v>
      </c>
      <c r="B50" s="827">
        <f>'Earned Incurred QTD-5'!B42</f>
        <v>225966.29</v>
      </c>
      <c r="C50" s="827">
        <v>0</v>
      </c>
      <c r="D50" s="827">
        <v>0</v>
      </c>
      <c r="E50" s="827">
        <v>0</v>
      </c>
      <c r="F50" s="827">
        <v>0</v>
      </c>
      <c r="G50" s="827">
        <f t="shared" si="4"/>
        <v>225966.29</v>
      </c>
    </row>
    <row r="51" spans="1:7" s="775" customFormat="1" ht="15" customHeight="1">
      <c r="A51" s="828" t="s">
        <v>379</v>
      </c>
      <c r="B51" s="827">
        <f>'Earned Incurred QTD-5'!B34</f>
        <v>34185.31</v>
      </c>
      <c r="C51" s="827">
        <v>0</v>
      </c>
      <c r="D51" s="827">
        <v>0</v>
      </c>
      <c r="E51" s="827">
        <v>0</v>
      </c>
      <c r="F51" s="827">
        <v>0</v>
      </c>
      <c r="G51" s="827">
        <f t="shared" si="4"/>
        <v>34185.31</v>
      </c>
    </row>
    <row r="52" spans="1:7" s="775" customFormat="1" ht="15" customHeight="1" thickBot="1">
      <c r="A52" s="828" t="s">
        <v>358</v>
      </c>
      <c r="B52" s="829">
        <f>SUM(B47:B51)</f>
        <v>3699319.8400000003</v>
      </c>
      <c r="C52" s="829">
        <f>SUM(C47:C51)</f>
        <v>6941976.959999999</v>
      </c>
      <c r="D52" s="829">
        <f>SUM(D47:D51)</f>
        <v>254514.2</v>
      </c>
      <c r="E52" s="829">
        <f>SUM(E47:E51)-1</f>
        <v>201157.63</v>
      </c>
      <c r="F52" s="829">
        <f>SUM(F47:F51)</f>
        <v>133077.92</v>
      </c>
      <c r="G52" s="830">
        <f t="shared" si="4"/>
        <v>11230046.549999999</v>
      </c>
    </row>
    <row r="53" spans="1:7" s="775" customFormat="1" ht="15" customHeight="1" thickTop="1">
      <c r="A53" s="828"/>
      <c r="B53" s="831"/>
      <c r="C53" s="831"/>
      <c r="D53" s="831"/>
      <c r="E53" s="831"/>
      <c r="F53" s="831"/>
      <c r="G53" s="485"/>
    </row>
    <row r="54" spans="1:8" s="775" customFormat="1" ht="15" customHeight="1" thickBot="1">
      <c r="A54" s="834" t="s">
        <v>381</v>
      </c>
      <c r="B54" s="929">
        <f>B36-B44+B52+1</f>
        <v>-464535.5099999998</v>
      </c>
      <c r="C54" s="929">
        <f>C36-C44+C52+1</f>
        <v>1655153.1799999988</v>
      </c>
      <c r="D54" s="929">
        <f>D36-D44+D52-1</f>
        <v>62081.56</v>
      </c>
      <c r="E54" s="929">
        <f>E36-E44+E52</f>
        <v>3687.6699999999837</v>
      </c>
      <c r="F54" s="929">
        <f>F36-F44+F52</f>
        <v>-125878.20999999999</v>
      </c>
      <c r="G54" s="929">
        <f>G36-G44+G52+1</f>
        <v>1130508.6899999995</v>
      </c>
      <c r="H54" s="779"/>
    </row>
    <row r="55" spans="1:8" s="775" customFormat="1" ht="15" customHeight="1" thickTop="1">
      <c r="A55" s="778"/>
      <c r="B55" s="779"/>
      <c r="C55" s="779"/>
      <c r="D55" s="801"/>
      <c r="E55" s="801"/>
      <c r="F55" s="801"/>
      <c r="G55" s="774"/>
      <c r="H55" s="779"/>
    </row>
    <row r="56" spans="1:9" s="775" customFormat="1" ht="15" customHeight="1">
      <c r="A56" s="778"/>
      <c r="B56" s="779"/>
      <c r="C56" s="779"/>
      <c r="D56" s="801"/>
      <c r="E56" s="801"/>
      <c r="F56" s="801"/>
      <c r="G56" s="774"/>
      <c r="H56" s="779"/>
      <c r="I56" s="779"/>
    </row>
    <row r="57" spans="1:7" s="775" customFormat="1" ht="15" customHeight="1">
      <c r="A57" s="778"/>
      <c r="B57" s="779"/>
      <c r="C57" s="779"/>
      <c r="D57" s="801"/>
      <c r="E57" s="801"/>
      <c r="F57" s="801"/>
      <c r="G57" s="801"/>
    </row>
    <row r="58" spans="2:7" s="775" customFormat="1" ht="15" customHeight="1">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1:7" s="775" customFormat="1" ht="15" customHeight="1">
      <c r="A61" s="777"/>
      <c r="B61" s="802"/>
      <c r="C61" s="802"/>
      <c r="D61" s="801"/>
      <c r="E61" s="801"/>
      <c r="F61" s="801"/>
      <c r="G61" s="801"/>
    </row>
    <row r="62" spans="2:7" s="775" customFormat="1" ht="15" customHeight="1">
      <c r="B62" s="779"/>
      <c r="C62" s="779"/>
      <c r="D62" s="801"/>
      <c r="E62" s="801"/>
      <c r="F62" s="801"/>
      <c r="G62" s="774"/>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aabrams</cp:lastModifiedBy>
  <cp:lastPrinted>2009-08-12T13:02:26Z</cp:lastPrinted>
  <dcterms:created xsi:type="dcterms:W3CDTF">1999-07-28T13:02:54Z</dcterms:created>
  <dcterms:modified xsi:type="dcterms:W3CDTF">2009-08-12T13:03:02Z</dcterms:modified>
  <cp:category/>
  <cp:version/>
  <cp:contentType/>
  <cp:contentStatus/>
</cp:coreProperties>
</file>